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01"/>
  <workbookPr showInkAnnotation="0" defaultThemeVersion="124226"/>
  <mc:AlternateContent xmlns:mc="http://schemas.openxmlformats.org/markup-compatibility/2006">
    <mc:Choice Requires="x15">
      <x15ac:absPath xmlns:x15ac="http://schemas.microsoft.com/office/spreadsheetml/2010/11/ac" url="C:\Users\Inside Plus\Desktop\"/>
    </mc:Choice>
  </mc:AlternateContent>
  <xr:revisionPtr revIDLastSave="0" documentId="8_{EC908809-9394-4416-8681-09E2463A919F}" xr6:coauthVersionLast="47" xr6:coauthVersionMax="47" xr10:uidLastSave="{00000000-0000-0000-0000-000000000000}"/>
  <bookViews>
    <workbookView xWindow="-120" yWindow="-120" windowWidth="29040" windowHeight="15840" tabRatio="551" firstSheet="2" activeTab="2" xr2:uid="{00000000-000D-0000-FFFF-FFFF00000000}"/>
  </bookViews>
  <sheets>
    <sheet name="Cov" sheetId="42" r:id="rId1"/>
    <sheet name="SUM_GR FL" sheetId="41" r:id="rId2"/>
    <sheet name="GL FL" sheetId="62" r:id="rId3"/>
    <sheet name="STR_" sheetId="60" state="hidden" r:id="rId4"/>
    <sheet name="STR (MPH)" sheetId="64" state="hidden" r:id="rId5"/>
    <sheet name="FIN" sheetId="63" state="hidden" r:id="rId6"/>
    <sheet name="FIN (MR)" sheetId="61" state="hidden" r:id="rId7"/>
    <sheet name="S (TB &amp; B)" sheetId="12" state="hidden" r:id="rId8"/>
    <sheet name="S (CL)" sheetId="10" state="hidden" r:id="rId9"/>
    <sheet name="S (L&amp;B.L)" sheetId="14" state="hidden" r:id="rId10"/>
    <sheet name="S (SL)" sheetId="15" state="hidden" r:id="rId11"/>
  </sheets>
  <externalReferences>
    <externalReference r:id="rId12"/>
  </externalReferences>
  <definedNames>
    <definedName name="Beg_Bal">'[1]Loan Calculator'!$C$18:$C$377</definedName>
    <definedName name="End_Bal">'[1]Loan Calculator'!$I$18:$I$377</definedName>
    <definedName name="Extra_Pay">'[1]Loan Calculator'!$E$18:$E$377</definedName>
    <definedName name="Full_Print">'[1]Loan Calculator'!$A$1:$I$377</definedName>
    <definedName name="Header_Row">ROW('[1]Loan Calculator'!$A$17:$IV$17)</definedName>
    <definedName name="Int">'[1]Loan Calculator'!$H$18:$H$377</definedName>
    <definedName name="Interest_Rate">'[1]Loan Calculator'!$D$5</definedName>
    <definedName name="Last_Row">IF(Values_Entered,Header_Row+Number_of_Payments,Header_Row)</definedName>
    <definedName name="Loan_Amount">'[1]Loan Calculator'!$D$4</definedName>
    <definedName name="Loan_Start">'[1]Loan Calculator'!$D$7</definedName>
    <definedName name="Loan_Years">'[1]Loan Calculator'!$D$6</definedName>
    <definedName name="Number_of_Payments">MATCH(0.01,End_Bal,-1)+1</definedName>
    <definedName name="Pay_Num">'[1]Loan Calculator'!$A$18:$A$377</definedName>
    <definedName name="Payment_Date" localSheetId="5">DATE(YEAR([0]!Loan_Start),MONTH([0]!Loan_Start)+Payment_Number,DAY([0]!Loan_Start))</definedName>
    <definedName name="Payment_Date" localSheetId="6">DATE(YEAR([0]!Loan_Start),MONTH([0]!Loan_Start)+Payment_Number,DAY([0]!Loan_Start))</definedName>
    <definedName name="Payment_Date" localSheetId="2">DATE(YEAR([0]!Loan_Start),MONTH([0]!Loan_Start)+Payment_Number,DAY([0]!Loan_Start))</definedName>
    <definedName name="Payment_Date" localSheetId="4">DATE(YEAR([0]!Loan_Start),MONTH([0]!Loan_Start)+Payment_Number,DAY([0]!Loan_Start))</definedName>
    <definedName name="Payment_Date" localSheetId="3">DATE(YEAR([0]!Loan_Start),MONTH([0]!Loan_Start)+Payment_Number,DAY([0]!Loan_Start))</definedName>
    <definedName name="Payment_Date" localSheetId="1">DATE(YEAR([0]!Loan_Start),MONTH([0]!Loan_Start)+Payment_Number,DAY([0]!Loan_Start))</definedName>
    <definedName name="Payment_Date">DATE(YEAR(Loan_Start),MONTH(Loan_Start)+Payment_Number,DAY(Loan_Start))</definedName>
    <definedName name="Princ">'[1]Loan Calculator'!$G$18:$G$377</definedName>
    <definedName name="_xlnm.Print_Area" localSheetId="0">Cov!$A$1:$H$37</definedName>
    <definedName name="_xlnm.Print_Area" localSheetId="2">'GL FL'!$A$1:$G$497</definedName>
    <definedName name="_xlnm.Print_Area" localSheetId="1">'SUM_GR FL'!$A$1:$E$24</definedName>
    <definedName name="Print_Area_Reset">OFFSET(Full_Print,0,0,Last_Row)</definedName>
    <definedName name="_xlnm.Print_Titles" localSheetId="2">'GL FL'!$1:$1</definedName>
    <definedName name="q">IF(Loan_Amount*Interest_Rate*Loan_Years*Loan_Start&gt;0,1,0)</definedName>
    <definedName name="Sched_Pay">'[1]Loan Calculator'!$D$18:$D$377</definedName>
    <definedName name="Scheduled_Extra_Payments">'[1]Loan Calculator'!$D$8</definedName>
    <definedName name="Scheduled_Monthly_Payment">'[1]Loan Calculator'!$D$11</definedName>
    <definedName name="Total_Pay">'[1]Loan Calculator'!$F$18:$F$377</definedName>
    <definedName name="Total_Payment" localSheetId="5">Scheduled_Payment+Extra_Payment</definedName>
    <definedName name="Total_Payment" localSheetId="6">Scheduled_Payment+Extra_Payment</definedName>
    <definedName name="Total_Payment" localSheetId="2">Scheduled_Payment+Extra_Payment</definedName>
    <definedName name="Total_Payment" localSheetId="4">Scheduled_Payment+Extra_Payment</definedName>
    <definedName name="Total_Payment" localSheetId="3">Scheduled_Payment+Extra_Payment</definedName>
    <definedName name="Total_Payment" localSheetId="1">Scheduled_Payment+Extra_Payment</definedName>
    <definedName name="Total_Payment">Scheduled_Payment+Extra_Payment</definedName>
    <definedName name="Values_Entered">IF(Loan_Amount*Interest_Rate*Loan_Years*Loan_Start&gt;0,1,0)</definedName>
    <definedName name="Z_7415B89D_CE29_4FBF_B4A0_9A15044B3DAA_.wvu.PrintTitles" localSheetId="2" hidden="1">'GL FL'!#REF!</definedName>
  </definedNames>
  <calcPr calcId="191028"/>
  <customWorkbookViews>
    <customWorkbookView name="maan_hya - Personal View" guid="{7415B89D-CE29-4FBF-B4A0-9A15044B3DAA}" mergeInterval="0" personalView="1" maximized="1" windowWidth="1020" windowHeight="552" tabRatio="551" activeSheetId="2"/>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4" i="62" l="1"/>
  <c r="G20" i="62"/>
  <c r="G512" i="62"/>
  <c r="G516" i="62"/>
  <c r="G508" i="62"/>
  <c r="G518" i="62" s="1"/>
  <c r="G492" i="62"/>
  <c r="G488" i="62"/>
  <c r="G496" i="62" s="1"/>
  <c r="G468" i="62"/>
  <c r="G471" i="62" s="1"/>
  <c r="G450" i="62"/>
  <c r="G446" i="62"/>
  <c r="G452" i="62" s="1"/>
  <c r="G332" i="62"/>
  <c r="G333" i="62"/>
  <c r="G334" i="62"/>
  <c r="G335" i="62"/>
  <c r="G336" i="62"/>
  <c r="G340" i="62"/>
  <c r="G341" i="62"/>
  <c r="G342" i="62"/>
  <c r="G346" i="62"/>
  <c r="G351" i="62"/>
  <c r="G352" i="62"/>
  <c r="G353" i="62"/>
  <c r="G354" i="62"/>
  <c r="G357" i="62"/>
  <c r="G358" i="62"/>
  <c r="G359" i="62"/>
  <c r="G362" i="62"/>
  <c r="G363" i="62"/>
  <c r="G369" i="62"/>
  <c r="G370" i="62"/>
  <c r="G371" i="62"/>
  <c r="G372" i="62"/>
  <c r="G375" i="62"/>
  <c r="G376" i="62"/>
  <c r="G377" i="62"/>
  <c r="G378" i="62"/>
  <c r="G381" i="62"/>
  <c r="G382" i="62"/>
  <c r="G383" i="62"/>
  <c r="G402" i="62"/>
  <c r="G403" i="62"/>
  <c r="G404" i="62"/>
  <c r="G409" i="62"/>
  <c r="G410" i="62"/>
  <c r="G411" i="62"/>
  <c r="G412" i="62"/>
  <c r="G415" i="62"/>
  <c r="G416" i="62"/>
  <c r="G417" i="62"/>
  <c r="G418" i="62"/>
  <c r="G420" i="62"/>
  <c r="G421" i="62"/>
  <c r="G422" i="62"/>
  <c r="G424" i="62"/>
  <c r="G425" i="62"/>
  <c r="G426" i="62"/>
  <c r="G427" i="62"/>
  <c r="G428" i="62"/>
  <c r="G331" i="62"/>
  <c r="G23" i="62"/>
  <c r="G19" i="62"/>
  <c r="G26" i="62" s="1"/>
  <c r="D19" i="41"/>
  <c r="D17" i="41"/>
  <c r="D15" i="41"/>
  <c r="D13" i="41"/>
  <c r="D9" i="41"/>
  <c r="B9" i="41"/>
  <c r="G430" i="62" l="1"/>
  <c r="D11" i="41" s="1"/>
  <c r="D20" i="41" s="1"/>
  <c r="D21" i="41" s="1"/>
  <c r="D22" i="41" s="1"/>
  <c r="P44" i="12"/>
  <c r="O8" i="10"/>
  <c r="I6" i="10"/>
  <c r="I11" i="10"/>
  <c r="C9" i="10"/>
  <c r="N22" i="12"/>
  <c r="N13" i="12"/>
  <c r="N4" i="12"/>
  <c r="AF28" i="12"/>
  <c r="D27" i="12" s="1"/>
  <c r="J28" i="12"/>
  <c r="A28" i="12"/>
  <c r="P27" i="12"/>
  <c r="O27" i="12"/>
  <c r="J27" i="12"/>
  <c r="AF26" i="12"/>
  <c r="D26" i="12" s="1"/>
  <c r="J26" i="12"/>
  <c r="J25" i="12"/>
  <c r="F25" i="12"/>
  <c r="D25" i="12"/>
  <c r="P24" i="12"/>
  <c r="O24" i="12"/>
  <c r="J24" i="12"/>
  <c r="AL23" i="12"/>
  <c r="AF23" i="12"/>
  <c r="E22" i="12" s="1"/>
  <c r="J23" i="12"/>
  <c r="AL22" i="12"/>
  <c r="AF22" i="12"/>
  <c r="B22" i="12" s="1"/>
  <c r="I22" i="12"/>
  <c r="H22" i="12"/>
  <c r="F22" i="12"/>
  <c r="AJ21" i="12"/>
  <c r="AJ23" i="12" s="1"/>
  <c r="AM23" i="12" s="1"/>
  <c r="AI21" i="12"/>
  <c r="AL21" i="12" s="1"/>
  <c r="AG21" i="12"/>
  <c r="H191" i="60"/>
  <c r="I254" i="60"/>
  <c r="L254" i="60" s="1"/>
  <c r="A379" i="60"/>
  <c r="B379" i="60"/>
  <c r="C379" i="60"/>
  <c r="E365" i="60"/>
  <c r="F365" i="60" s="1"/>
  <c r="E363" i="60"/>
  <c r="F363" i="60" s="1"/>
  <c r="E364" i="60"/>
  <c r="F364" i="60" s="1"/>
  <c r="R365" i="60"/>
  <c r="L365" i="60"/>
  <c r="J365" i="60"/>
  <c r="Q365" i="60" s="1"/>
  <c r="I365" i="60"/>
  <c r="P365" i="60" s="1"/>
  <c r="H365" i="60"/>
  <c r="O365" i="60" s="1"/>
  <c r="B408" i="60"/>
  <c r="L408" i="60" s="1"/>
  <c r="L407" i="60"/>
  <c r="L406" i="60"/>
  <c r="A403" i="60"/>
  <c r="A402" i="60"/>
  <c r="A401" i="60"/>
  <c r="L400" i="60"/>
  <c r="A400" i="60"/>
  <c r="A399" i="60"/>
  <c r="B398" i="60"/>
  <c r="L398" i="60" s="1"/>
  <c r="A398" i="60"/>
  <c r="L390" i="60"/>
  <c r="H386" i="60"/>
  <c r="D386" i="60"/>
  <c r="H382" i="60"/>
  <c r="R374" i="60"/>
  <c r="J374" i="60"/>
  <c r="H374" i="60"/>
  <c r="O374" i="60" s="1"/>
  <c r="H370" i="60"/>
  <c r="O370" i="60" s="1"/>
  <c r="R364" i="60"/>
  <c r="J364" i="60"/>
  <c r="Q364" i="60" s="1"/>
  <c r="I364" i="60"/>
  <c r="P364" i="60" s="1"/>
  <c r="H364" i="60"/>
  <c r="O364" i="60" s="1"/>
  <c r="R363" i="60"/>
  <c r="Q363" i="60"/>
  <c r="J363" i="60"/>
  <c r="I363" i="60"/>
  <c r="P363" i="60" s="1"/>
  <c r="H363" i="60"/>
  <c r="O363" i="60" s="1"/>
  <c r="M359" i="60"/>
  <c r="L364" i="60" s="1"/>
  <c r="H359" i="60"/>
  <c r="O359" i="60" s="1"/>
  <c r="H410" i="60"/>
  <c r="A414" i="60"/>
  <c r="H414" i="60" s="1"/>
  <c r="J414" i="60"/>
  <c r="B420" i="60"/>
  <c r="I420" i="60"/>
  <c r="R156" i="60"/>
  <c r="Q156" i="60"/>
  <c r="B343" i="60"/>
  <c r="L343" i="60" s="1"/>
  <c r="B333" i="60"/>
  <c r="L333" i="60" s="1"/>
  <c r="A334" i="60"/>
  <c r="D320" i="60"/>
  <c r="H320" i="60"/>
  <c r="H319" i="60"/>
  <c r="F312" i="60"/>
  <c r="E312" i="60"/>
  <c r="D312" i="60"/>
  <c r="C312" i="60"/>
  <c r="B312" i="60"/>
  <c r="L342" i="60"/>
  <c r="L341" i="60"/>
  <c r="A338" i="60"/>
  <c r="A337" i="60"/>
  <c r="A336" i="60"/>
  <c r="L335" i="60"/>
  <c r="A335" i="60"/>
  <c r="A333" i="60"/>
  <c r="L325" i="60"/>
  <c r="H321" i="60"/>
  <c r="B321" i="60"/>
  <c r="I321" i="60" s="1"/>
  <c r="L321" i="60" s="1"/>
  <c r="D319" i="60"/>
  <c r="H315" i="60"/>
  <c r="A312" i="60"/>
  <c r="R307" i="60"/>
  <c r="J307" i="60"/>
  <c r="H307" i="60"/>
  <c r="O307" i="60" s="1"/>
  <c r="H303" i="60"/>
  <c r="O303" i="60" s="1"/>
  <c r="R298" i="60"/>
  <c r="J298" i="60"/>
  <c r="Q298" i="60" s="1"/>
  <c r="I298" i="60"/>
  <c r="P298" i="60" s="1"/>
  <c r="H298" i="60"/>
  <c r="O298" i="60" s="1"/>
  <c r="E298" i="60"/>
  <c r="F298" i="60" s="1"/>
  <c r="R297" i="60"/>
  <c r="J297" i="60"/>
  <c r="Q297" i="60" s="1"/>
  <c r="I297" i="60"/>
  <c r="P297" i="60" s="1"/>
  <c r="H297" i="60"/>
  <c r="O297" i="60" s="1"/>
  <c r="E297" i="60"/>
  <c r="F297" i="60" s="1"/>
  <c r="R296" i="60"/>
  <c r="Q296" i="60"/>
  <c r="J296" i="60"/>
  <c r="I296" i="60"/>
  <c r="P296" i="60" s="1"/>
  <c r="H296" i="60"/>
  <c r="O296" i="60" s="1"/>
  <c r="E296" i="60"/>
  <c r="F296" i="60" s="1"/>
  <c r="M292" i="60"/>
  <c r="L297" i="60" s="1"/>
  <c r="H292" i="60"/>
  <c r="O292" i="60" s="1"/>
  <c r="C283" i="60"/>
  <c r="C350" i="60" s="1"/>
  <c r="D283" i="60"/>
  <c r="D350" i="60" s="1"/>
  <c r="C284" i="60"/>
  <c r="C351" i="60" s="1"/>
  <c r="D284" i="60"/>
  <c r="D351" i="60" s="1"/>
  <c r="C285" i="60"/>
  <c r="C352" i="60" s="1"/>
  <c r="D285" i="60"/>
  <c r="C286" i="60"/>
  <c r="C353" i="60" s="1"/>
  <c r="D286" i="60"/>
  <c r="D353" i="60" s="1"/>
  <c r="D427" i="60" s="1"/>
  <c r="D282" i="60"/>
  <c r="C282" i="60"/>
  <c r="C349" i="60" s="1"/>
  <c r="B283" i="60"/>
  <c r="B350" i="60" s="1"/>
  <c r="B285" i="60"/>
  <c r="B352" i="60" s="1"/>
  <c r="B286" i="60"/>
  <c r="B353" i="60" s="1"/>
  <c r="B282" i="60"/>
  <c r="B349" i="60" s="1"/>
  <c r="B276" i="60"/>
  <c r="L276" i="60" s="1"/>
  <c r="B255" i="60"/>
  <c r="B254" i="60"/>
  <c r="D254" i="60" s="1"/>
  <c r="B270" i="60"/>
  <c r="B337" i="60" s="1"/>
  <c r="L337" i="60" s="1"/>
  <c r="B325" i="60" s="1"/>
  <c r="D325" i="60" s="1"/>
  <c r="L267" i="60"/>
  <c r="A267" i="60"/>
  <c r="D247" i="60"/>
  <c r="E247" i="60"/>
  <c r="C247" i="60"/>
  <c r="B247" i="60"/>
  <c r="J232" i="60"/>
  <c r="E232" i="60"/>
  <c r="F232" i="60" s="1"/>
  <c r="E233" i="60"/>
  <c r="F233" i="60" s="1"/>
  <c r="E234" i="60"/>
  <c r="F234" i="60" s="1"/>
  <c r="E222" i="60"/>
  <c r="B220" i="60"/>
  <c r="B284" i="60" s="1"/>
  <c r="B212" i="60"/>
  <c r="B211" i="60"/>
  <c r="B210" i="60"/>
  <c r="B207" i="60"/>
  <c r="L207" i="60" s="1"/>
  <c r="B197" i="60" s="1"/>
  <c r="J197" i="60" s="1"/>
  <c r="L197" i="60" s="1"/>
  <c r="B203" i="60"/>
  <c r="B191" i="60" s="1"/>
  <c r="D191" i="60" s="1"/>
  <c r="B192" i="60"/>
  <c r="A204" i="60"/>
  <c r="A203" i="60"/>
  <c r="L204" i="60"/>
  <c r="E184" i="60"/>
  <c r="D184" i="60"/>
  <c r="C184" i="60"/>
  <c r="V67" i="60"/>
  <c r="T67" i="60"/>
  <c r="T68" i="60"/>
  <c r="Q67" i="60"/>
  <c r="O67" i="60"/>
  <c r="O68" i="60"/>
  <c r="L67" i="60"/>
  <c r="H67" i="60"/>
  <c r="J59" i="60"/>
  <c r="U59" i="60" s="1"/>
  <c r="J58" i="60"/>
  <c r="U58" i="60" s="1"/>
  <c r="I50" i="60"/>
  <c r="F50" i="60"/>
  <c r="E50" i="60"/>
  <c r="D50" i="60"/>
  <c r="C50" i="60"/>
  <c r="B50" i="60"/>
  <c r="E49" i="60"/>
  <c r="D49" i="60"/>
  <c r="C49" i="60"/>
  <c r="B49" i="60"/>
  <c r="B48" i="60"/>
  <c r="D42" i="60"/>
  <c r="M17" i="60"/>
  <c r="M18" i="60"/>
  <c r="J18" i="60"/>
  <c r="L26" i="60"/>
  <c r="L50" i="60" s="1"/>
  <c r="J26" i="60"/>
  <c r="J50" i="60" s="1"/>
  <c r="G26" i="60"/>
  <c r="G50" i="60" s="1"/>
  <c r="H26" i="60"/>
  <c r="H50" i="60" s="1"/>
  <c r="N25" i="60"/>
  <c r="C18" i="60" s="1"/>
  <c r="C42" i="60" s="1"/>
  <c r="D24" i="60"/>
  <c r="C24" i="60"/>
  <c r="B24" i="60"/>
  <c r="I18" i="60"/>
  <c r="A25" i="60"/>
  <c r="A49" i="60" s="1"/>
  <c r="D11" i="60"/>
  <c r="M11" i="60" s="1"/>
  <c r="D10" i="60"/>
  <c r="D34" i="60" s="1"/>
  <c r="D9" i="60"/>
  <c r="M9" i="60" s="1"/>
  <c r="D8" i="60"/>
  <c r="D32" i="60" s="1"/>
  <c r="C11" i="60"/>
  <c r="L11" i="60" s="1"/>
  <c r="C10" i="60"/>
  <c r="C34" i="60" s="1"/>
  <c r="C9" i="60"/>
  <c r="L9" i="60" s="1"/>
  <c r="C8" i="60"/>
  <c r="M22" i="64"/>
  <c r="I21" i="64"/>
  <c r="H21" i="64"/>
  <c r="D888" i="64"/>
  <c r="D887" i="64"/>
  <c r="D886" i="64"/>
  <c r="D890" i="64" s="1"/>
  <c r="B882" i="64" s="1"/>
  <c r="D878" i="64"/>
  <c r="D877" i="64"/>
  <c r="D876" i="64"/>
  <c r="D880" i="64" s="1"/>
  <c r="B872" i="64"/>
  <c r="E869" i="64"/>
  <c r="A869" i="64"/>
  <c r="E868" i="64"/>
  <c r="A868" i="64"/>
  <c r="E867" i="64"/>
  <c r="A867" i="64"/>
  <c r="E866" i="64"/>
  <c r="B855" i="64" s="1"/>
  <c r="D855" i="64" s="1"/>
  <c r="A866" i="64"/>
  <c r="E865" i="64"/>
  <c r="B854" i="64" s="1"/>
  <c r="D854" i="64" s="1"/>
  <c r="A865" i="64"/>
  <c r="E864" i="64"/>
  <c r="B853" i="64" s="1"/>
  <c r="D853" i="64" s="1"/>
  <c r="A864" i="64"/>
  <c r="E863" i="64"/>
  <c r="A863" i="64"/>
  <c r="E862" i="64"/>
  <c r="A862" i="64"/>
  <c r="B857" i="64"/>
  <c r="D857" i="64" s="1"/>
  <c r="B852" i="64"/>
  <c r="D852" i="64" s="1"/>
  <c r="B851" i="64"/>
  <c r="D851" i="64" s="1"/>
  <c r="E829" i="64"/>
  <c r="E828" i="64"/>
  <c r="E831" i="64" s="1"/>
  <c r="B824" i="64"/>
  <c r="E820" i="64"/>
  <c r="E819" i="64"/>
  <c r="E818" i="64"/>
  <c r="B811" i="64"/>
  <c r="F811" i="64" s="1"/>
  <c r="C800" i="64" s="1"/>
  <c r="D800" i="64" s="1"/>
  <c r="A811" i="64"/>
  <c r="F810" i="64"/>
  <c r="C799" i="64" s="1"/>
  <c r="D799" i="64" s="1"/>
  <c r="A810" i="64"/>
  <c r="F809" i="64"/>
  <c r="C798" i="64" s="1"/>
  <c r="D798" i="64" s="1"/>
  <c r="A809" i="64"/>
  <c r="F808" i="64"/>
  <c r="C797" i="64" s="1"/>
  <c r="D797" i="64" s="1"/>
  <c r="A808" i="64"/>
  <c r="C807" i="64"/>
  <c r="B807" i="64"/>
  <c r="F807" i="64" s="1"/>
  <c r="C796" i="64" s="1"/>
  <c r="D796" i="64" s="1"/>
  <c r="A807" i="64"/>
  <c r="C806" i="64"/>
  <c r="B806" i="64"/>
  <c r="A806" i="64"/>
  <c r="F805" i="64"/>
  <c r="C794" i="64" s="1"/>
  <c r="D794" i="64" s="1"/>
  <c r="A805" i="64"/>
  <c r="F804" i="64"/>
  <c r="C793" i="64" s="1"/>
  <c r="D793" i="64" s="1"/>
  <c r="A804" i="64"/>
  <c r="N786" i="64"/>
  <c r="J782" i="64"/>
  <c r="B782" i="64"/>
  <c r="I782" i="64" s="1"/>
  <c r="A782" i="64"/>
  <c r="H782" i="64" s="1"/>
  <c r="H778" i="64"/>
  <c r="B778" i="64"/>
  <c r="U775" i="64"/>
  <c r="B765" i="64" s="1"/>
  <c r="D765" i="64" s="1"/>
  <c r="A775" i="64"/>
  <c r="U774" i="64"/>
  <c r="B764" i="64" s="1"/>
  <c r="I764" i="64" s="1"/>
  <c r="L764" i="64" s="1"/>
  <c r="A774" i="64"/>
  <c r="A773" i="64"/>
  <c r="U772" i="64"/>
  <c r="B761" i="64" s="1"/>
  <c r="D761" i="64" s="1"/>
  <c r="A772" i="64"/>
  <c r="U771" i="64"/>
  <c r="B760" i="64" s="1"/>
  <c r="D760" i="64" s="1"/>
  <c r="A771" i="64"/>
  <c r="U770" i="64"/>
  <c r="B759" i="64" s="1"/>
  <c r="A770" i="64"/>
  <c r="J761" i="64"/>
  <c r="L761" i="64" s="1"/>
  <c r="J760" i="64"/>
  <c r="L760" i="64" s="1"/>
  <c r="U753" i="64"/>
  <c r="H748" i="64"/>
  <c r="B748" i="64"/>
  <c r="I748" i="64" s="1"/>
  <c r="L748" i="64" s="1"/>
  <c r="L739" i="64"/>
  <c r="J739" i="64"/>
  <c r="I739" i="64"/>
  <c r="E739" i="64"/>
  <c r="F739" i="64" s="1"/>
  <c r="L738" i="64"/>
  <c r="J738" i="64"/>
  <c r="I738" i="64"/>
  <c r="E738" i="64"/>
  <c r="F738" i="64" s="1"/>
  <c r="L737" i="64"/>
  <c r="J737" i="64"/>
  <c r="I737" i="64"/>
  <c r="E737" i="64"/>
  <c r="F737" i="64" s="1"/>
  <c r="N730" i="64"/>
  <c r="B726" i="64" s="1"/>
  <c r="E726" i="64" s="1"/>
  <c r="J726" i="64"/>
  <c r="A726" i="64"/>
  <c r="H726" i="64" s="1"/>
  <c r="H722" i="64"/>
  <c r="B722" i="64"/>
  <c r="D716" i="64"/>
  <c r="E716" i="64" s="1"/>
  <c r="E715" i="64"/>
  <c r="E714" i="64"/>
  <c r="E713" i="64"/>
  <c r="E712" i="64"/>
  <c r="U706" i="64"/>
  <c r="B696" i="64" s="1"/>
  <c r="I696" i="64" s="1"/>
  <c r="L696" i="64" s="1"/>
  <c r="A706" i="64"/>
  <c r="U705" i="64"/>
  <c r="B695" i="64" s="1"/>
  <c r="A705" i="64"/>
  <c r="A704" i="64"/>
  <c r="U703" i="64"/>
  <c r="B692" i="64" s="1"/>
  <c r="D692" i="64" s="1"/>
  <c r="A703" i="64"/>
  <c r="U702" i="64"/>
  <c r="B691" i="64" s="1"/>
  <c r="D691" i="64" s="1"/>
  <c r="A702" i="64"/>
  <c r="U701" i="64"/>
  <c r="B690" i="64" s="1"/>
  <c r="I690" i="64" s="1"/>
  <c r="L690" i="64" s="1"/>
  <c r="A701" i="64"/>
  <c r="J692" i="64"/>
  <c r="L692" i="64" s="1"/>
  <c r="J691" i="64"/>
  <c r="L691" i="64" s="1"/>
  <c r="E684" i="64"/>
  <c r="U684" i="64" s="1"/>
  <c r="B679" i="64" s="1"/>
  <c r="J679" i="64"/>
  <c r="H679" i="64"/>
  <c r="L670" i="64"/>
  <c r="J670" i="64"/>
  <c r="I670" i="64"/>
  <c r="E670" i="64"/>
  <c r="F670" i="64" s="1"/>
  <c r="L669" i="64"/>
  <c r="J669" i="64"/>
  <c r="I669" i="64"/>
  <c r="E669" i="64"/>
  <c r="F669" i="64" s="1"/>
  <c r="L668" i="64"/>
  <c r="J668" i="64"/>
  <c r="I668" i="64"/>
  <c r="E668" i="64"/>
  <c r="F668" i="64" s="1"/>
  <c r="N661" i="64"/>
  <c r="B657" i="64" s="1"/>
  <c r="E657" i="64" s="1"/>
  <c r="J657" i="64"/>
  <c r="A657" i="64"/>
  <c r="H657" i="64" s="1"/>
  <c r="H653" i="64"/>
  <c r="B653" i="64"/>
  <c r="D647" i="64"/>
  <c r="E647" i="64" s="1"/>
  <c r="E646" i="64"/>
  <c r="E645" i="64"/>
  <c r="E644" i="64"/>
  <c r="E643" i="64"/>
  <c r="U637" i="64"/>
  <c r="B627" i="64" s="1"/>
  <c r="I627" i="64" s="1"/>
  <c r="L627" i="64" s="1"/>
  <c r="A637" i="64"/>
  <c r="U636" i="64"/>
  <c r="B626" i="64" s="1"/>
  <c r="I626" i="64" s="1"/>
  <c r="L626" i="64" s="1"/>
  <c r="A636" i="64"/>
  <c r="A635" i="64"/>
  <c r="U634" i="64"/>
  <c r="B623" i="64" s="1"/>
  <c r="D623" i="64" s="1"/>
  <c r="A634" i="64"/>
  <c r="U633" i="64"/>
  <c r="B622" i="64" s="1"/>
  <c r="D622" i="64" s="1"/>
  <c r="A633" i="64"/>
  <c r="U632" i="64"/>
  <c r="B621" i="64" s="1"/>
  <c r="A632" i="64"/>
  <c r="J623" i="64"/>
  <c r="L623" i="64" s="1"/>
  <c r="J622" i="64"/>
  <c r="L622" i="64" s="1"/>
  <c r="F615" i="64"/>
  <c r="E615" i="64"/>
  <c r="U615" i="64" s="1"/>
  <c r="B610" i="64" s="1"/>
  <c r="J610" i="64"/>
  <c r="H610" i="64"/>
  <c r="L601" i="64"/>
  <c r="J601" i="64"/>
  <c r="I601" i="64"/>
  <c r="E601" i="64"/>
  <c r="F601" i="64" s="1"/>
  <c r="L600" i="64"/>
  <c r="J600" i="64"/>
  <c r="I600" i="64"/>
  <c r="E600" i="64"/>
  <c r="F600" i="64" s="1"/>
  <c r="L599" i="64"/>
  <c r="J599" i="64"/>
  <c r="I599" i="64"/>
  <c r="E599" i="64"/>
  <c r="F599" i="64" s="1"/>
  <c r="N308" i="64"/>
  <c r="B302" i="64" s="1"/>
  <c r="J302" i="64"/>
  <c r="A302" i="64"/>
  <c r="H302" i="64" s="1"/>
  <c r="H298" i="64"/>
  <c r="E293" i="64"/>
  <c r="E292" i="64"/>
  <c r="E291" i="64"/>
  <c r="E290" i="64"/>
  <c r="E289" i="64"/>
  <c r="L283" i="64"/>
  <c r="L282" i="64"/>
  <c r="L281" i="64"/>
  <c r="L278" i="64"/>
  <c r="B269" i="64" s="1"/>
  <c r="J269" i="64" s="1"/>
  <c r="L269" i="64" s="1"/>
  <c r="A278" i="64"/>
  <c r="L277" i="64"/>
  <c r="B268" i="64" s="1"/>
  <c r="D268" i="64" s="1"/>
  <c r="A277" i="64"/>
  <c r="A276" i="64"/>
  <c r="L275" i="64"/>
  <c r="B264" i="64" s="1"/>
  <c r="A275" i="64"/>
  <c r="L268" i="64"/>
  <c r="H264" i="64"/>
  <c r="H260" i="64"/>
  <c r="G257" i="64"/>
  <c r="F257" i="64"/>
  <c r="N257" i="64" s="1"/>
  <c r="B251" i="64" s="1"/>
  <c r="A257" i="64"/>
  <c r="E256" i="64"/>
  <c r="D256" i="64"/>
  <c r="C256" i="64"/>
  <c r="B256" i="64"/>
  <c r="A256" i="64"/>
  <c r="R251" i="64"/>
  <c r="J251" i="64"/>
  <c r="H251" i="64"/>
  <c r="O251" i="64" s="1"/>
  <c r="R250" i="64"/>
  <c r="J250" i="64"/>
  <c r="H250" i="64"/>
  <c r="O250" i="64" s="1"/>
  <c r="H246" i="64"/>
  <c r="O246" i="64" s="1"/>
  <c r="R241" i="64"/>
  <c r="J241" i="64"/>
  <c r="Q241" i="64" s="1"/>
  <c r="I241" i="64"/>
  <c r="P241" i="64" s="1"/>
  <c r="H241" i="64"/>
  <c r="O241" i="64" s="1"/>
  <c r="E241" i="64"/>
  <c r="F241" i="64" s="1"/>
  <c r="R240" i="64"/>
  <c r="J240" i="64"/>
  <c r="Q240" i="64" s="1"/>
  <c r="I240" i="64"/>
  <c r="P240" i="64" s="1"/>
  <c r="S240" i="64" s="1"/>
  <c r="H240" i="64"/>
  <c r="O240" i="64" s="1"/>
  <c r="E240" i="64"/>
  <c r="F240" i="64" s="1"/>
  <c r="R239" i="64"/>
  <c r="Q239" i="64"/>
  <c r="J239" i="64"/>
  <c r="I239" i="64"/>
  <c r="P239" i="64" s="1"/>
  <c r="H239" i="64"/>
  <c r="O239" i="64" s="1"/>
  <c r="E239" i="64"/>
  <c r="F239" i="64" s="1"/>
  <c r="M235" i="64"/>
  <c r="L240" i="64" s="1"/>
  <c r="H235" i="64"/>
  <c r="O235" i="64" s="1"/>
  <c r="N232" i="64"/>
  <c r="B226" i="64" s="1"/>
  <c r="J226" i="64"/>
  <c r="A226" i="64"/>
  <c r="H226" i="64" s="1"/>
  <c r="H222" i="64"/>
  <c r="E217" i="64"/>
  <c r="E216" i="64"/>
  <c r="E215" i="64"/>
  <c r="E214" i="64"/>
  <c r="E213" i="64"/>
  <c r="L207" i="64"/>
  <c r="L206" i="64"/>
  <c r="L205" i="64"/>
  <c r="I189" i="64" s="1"/>
  <c r="L189" i="64" s="1"/>
  <c r="L202" i="64"/>
  <c r="B193" i="64" s="1"/>
  <c r="J193" i="64" s="1"/>
  <c r="L193" i="64" s="1"/>
  <c r="A202" i="64"/>
  <c r="L201" i="64"/>
  <c r="B192" i="64" s="1"/>
  <c r="D192" i="64" s="1"/>
  <c r="A201" i="64"/>
  <c r="A200" i="64"/>
  <c r="L199" i="64"/>
  <c r="B188" i="64" s="1"/>
  <c r="D188" i="64" s="1"/>
  <c r="D190" i="64" s="1"/>
  <c r="A199" i="64"/>
  <c r="L192" i="64"/>
  <c r="H188" i="64"/>
  <c r="H184" i="64"/>
  <c r="H181" i="64"/>
  <c r="N181" i="64" s="1"/>
  <c r="B175" i="64" s="1"/>
  <c r="I175" i="64" s="1"/>
  <c r="Q175" i="64" s="1"/>
  <c r="A181" i="64"/>
  <c r="F180" i="64"/>
  <c r="E180" i="64"/>
  <c r="D180" i="64"/>
  <c r="A180" i="64"/>
  <c r="R175" i="64"/>
  <c r="J175" i="64"/>
  <c r="H175" i="64"/>
  <c r="O175" i="64" s="1"/>
  <c r="R174" i="64"/>
  <c r="J174" i="64"/>
  <c r="H174" i="64"/>
  <c r="O174" i="64" s="1"/>
  <c r="H170" i="64"/>
  <c r="O170" i="64" s="1"/>
  <c r="R165" i="64"/>
  <c r="J165" i="64"/>
  <c r="Q165" i="64" s="1"/>
  <c r="I165" i="64"/>
  <c r="P165" i="64" s="1"/>
  <c r="H165" i="64"/>
  <c r="O165" i="64" s="1"/>
  <c r="E165" i="64"/>
  <c r="F165" i="64" s="1"/>
  <c r="R164" i="64"/>
  <c r="J164" i="64"/>
  <c r="Q164" i="64" s="1"/>
  <c r="I164" i="64"/>
  <c r="P164" i="64" s="1"/>
  <c r="H164" i="64"/>
  <c r="O164" i="64" s="1"/>
  <c r="E164" i="64"/>
  <c r="F164" i="64" s="1"/>
  <c r="R163" i="64"/>
  <c r="Q163" i="64"/>
  <c r="J163" i="64"/>
  <c r="I163" i="64"/>
  <c r="P163" i="64" s="1"/>
  <c r="H163" i="64"/>
  <c r="O163" i="64" s="1"/>
  <c r="E163" i="64"/>
  <c r="F163" i="64" s="1"/>
  <c r="M159" i="64"/>
  <c r="L163" i="64" s="1"/>
  <c r="H159" i="64"/>
  <c r="O159" i="64" s="1"/>
  <c r="C154" i="64"/>
  <c r="B154" i="64"/>
  <c r="A154" i="64"/>
  <c r="J149" i="64"/>
  <c r="H149" i="64"/>
  <c r="H145" i="64"/>
  <c r="S141" i="64"/>
  <c r="R141" i="64"/>
  <c r="Q141" i="64"/>
  <c r="P141" i="64"/>
  <c r="F141" i="64"/>
  <c r="F143" i="64" s="1"/>
  <c r="B137" i="64" s="1"/>
  <c r="P137" i="64"/>
  <c r="F133" i="64"/>
  <c r="F135" i="64" s="1"/>
  <c r="J120" i="64"/>
  <c r="I120" i="64"/>
  <c r="H120" i="64"/>
  <c r="E120" i="64"/>
  <c r="F120" i="64" s="1"/>
  <c r="F122" i="64" s="1"/>
  <c r="B116" i="64" s="1"/>
  <c r="M116" i="64"/>
  <c r="L120" i="64" s="1"/>
  <c r="L116" i="64"/>
  <c r="H116" i="64"/>
  <c r="J112" i="64"/>
  <c r="R112" i="64" s="1"/>
  <c r="I112" i="64"/>
  <c r="Q112" i="64" s="1"/>
  <c r="H112" i="64"/>
  <c r="P112" i="64" s="1"/>
  <c r="E112" i="64"/>
  <c r="F112" i="64" s="1"/>
  <c r="J111" i="64"/>
  <c r="R111" i="64" s="1"/>
  <c r="I111" i="64"/>
  <c r="Q111" i="64" s="1"/>
  <c r="H111" i="64"/>
  <c r="P111" i="64" s="1"/>
  <c r="E111" i="64"/>
  <c r="F111" i="64" s="1"/>
  <c r="J110" i="64"/>
  <c r="R110" i="64" s="1"/>
  <c r="I110" i="64"/>
  <c r="Q110" i="64" s="1"/>
  <c r="H110" i="64"/>
  <c r="P110" i="64" s="1"/>
  <c r="E110" i="64"/>
  <c r="F110" i="64" s="1"/>
  <c r="M106" i="64"/>
  <c r="L111" i="64" s="1"/>
  <c r="L106" i="64"/>
  <c r="Q103" i="64"/>
  <c r="J98" i="64" s="1"/>
  <c r="A103" i="64"/>
  <c r="L98" i="64"/>
  <c r="I98" i="64"/>
  <c r="H98" i="64"/>
  <c r="F98" i="64"/>
  <c r="F100" i="64" s="1"/>
  <c r="B95" i="64" s="1"/>
  <c r="H95" i="64"/>
  <c r="D90" i="64"/>
  <c r="C90" i="64"/>
  <c r="D80" i="64"/>
  <c r="C80" i="64"/>
  <c r="B80" i="64"/>
  <c r="F80" i="64" s="1"/>
  <c r="F82" i="64" s="1"/>
  <c r="B76" i="64" s="1"/>
  <c r="A80" i="64"/>
  <c r="A90" i="64" s="1"/>
  <c r="M71" i="64"/>
  <c r="L71" i="64"/>
  <c r="J71" i="64"/>
  <c r="I71" i="64"/>
  <c r="F71" i="64"/>
  <c r="F73" i="64" s="1"/>
  <c r="B67" i="64" s="1"/>
  <c r="N58" i="64"/>
  <c r="C53" i="64" s="1"/>
  <c r="F53" i="64" s="1"/>
  <c r="F55" i="64" s="1"/>
  <c r="B42" i="64" s="1"/>
  <c r="F129" i="64" s="1"/>
  <c r="A58" i="64"/>
  <c r="V53" i="64"/>
  <c r="Q53" i="64"/>
  <c r="I53" i="64"/>
  <c r="H53" i="64"/>
  <c r="Q47" i="64"/>
  <c r="L47" i="64"/>
  <c r="V47" i="64" s="1"/>
  <c r="J47" i="64"/>
  <c r="U47" i="64" s="1"/>
  <c r="B47" i="64"/>
  <c r="I47" i="64" s="1"/>
  <c r="A47" i="64"/>
  <c r="H47" i="64" s="1"/>
  <c r="O47" i="64" s="1"/>
  <c r="T47" i="64" s="1"/>
  <c r="Q46" i="64"/>
  <c r="L46" i="64"/>
  <c r="V46" i="64" s="1"/>
  <c r="J46" i="64"/>
  <c r="U46" i="64" s="1"/>
  <c r="B46" i="64"/>
  <c r="A46" i="64"/>
  <c r="H46" i="64" s="1"/>
  <c r="O46" i="64" s="1"/>
  <c r="T46" i="64" s="1"/>
  <c r="H42" i="64"/>
  <c r="O42" i="64" s="1"/>
  <c r="T42" i="64" s="1"/>
  <c r="H41" i="64"/>
  <c r="O41" i="64" s="1"/>
  <c r="T41" i="64" s="1"/>
  <c r="D36" i="64"/>
  <c r="B36" i="64"/>
  <c r="A36" i="64"/>
  <c r="D35" i="64"/>
  <c r="B35" i="64"/>
  <c r="A35" i="64"/>
  <c r="D29" i="64"/>
  <c r="C29" i="64"/>
  <c r="B29" i="64"/>
  <c r="A29" i="64"/>
  <c r="D28" i="64"/>
  <c r="C28" i="64"/>
  <c r="B28" i="64"/>
  <c r="A28" i="64"/>
  <c r="A22" i="64"/>
  <c r="A21" i="64"/>
  <c r="M16" i="64"/>
  <c r="J16" i="64"/>
  <c r="I16" i="64"/>
  <c r="M15" i="64"/>
  <c r="J15" i="64"/>
  <c r="I15" i="64"/>
  <c r="M9" i="64"/>
  <c r="L9" i="64"/>
  <c r="J9" i="64"/>
  <c r="I9" i="64"/>
  <c r="F9" i="64"/>
  <c r="M8" i="64"/>
  <c r="L8" i="64"/>
  <c r="J8" i="64"/>
  <c r="I8" i="64"/>
  <c r="F8" i="64"/>
  <c r="K919" i="63"/>
  <c r="B916" i="63" s="1"/>
  <c r="A919" i="63"/>
  <c r="F911" i="63"/>
  <c r="F910" i="63"/>
  <c r="F909" i="63"/>
  <c r="F908" i="63"/>
  <c r="F907" i="63"/>
  <c r="F906" i="63"/>
  <c r="F905" i="63"/>
  <c r="F904" i="63"/>
  <c r="F903" i="63"/>
  <c r="F902" i="63"/>
  <c r="F901" i="63"/>
  <c r="F900" i="63"/>
  <c r="K894" i="63"/>
  <c r="A894" i="63"/>
  <c r="B891" i="63"/>
  <c r="E885" i="63"/>
  <c r="E884" i="63"/>
  <c r="E883" i="63"/>
  <c r="K879" i="63"/>
  <c r="C874" i="63" s="1"/>
  <c r="E874" i="63" s="1"/>
  <c r="E873" i="63"/>
  <c r="E872" i="63"/>
  <c r="K867" i="63"/>
  <c r="K866" i="63"/>
  <c r="C859" i="63" s="1"/>
  <c r="E859" i="63" s="1"/>
  <c r="E861" i="63"/>
  <c r="K854" i="63"/>
  <c r="C848" i="63" s="1"/>
  <c r="D848" i="63" s="1"/>
  <c r="D851" i="63" s="1"/>
  <c r="B846" i="63" s="1"/>
  <c r="Q844" i="63"/>
  <c r="Q843" i="63"/>
  <c r="C838" i="63" s="1"/>
  <c r="D838" i="63"/>
  <c r="E838" i="63" s="1"/>
  <c r="Q833" i="63"/>
  <c r="Q832" i="63"/>
  <c r="C827" i="63" s="1"/>
  <c r="D827" i="63"/>
  <c r="E827" i="63" s="1"/>
  <c r="Y821" i="63"/>
  <c r="A821" i="63"/>
  <c r="B818" i="63"/>
  <c r="Y813" i="63"/>
  <c r="B809" i="63" s="1"/>
  <c r="A813" i="63"/>
  <c r="Y812" i="63"/>
  <c r="B808" i="63"/>
  <c r="P805" i="63"/>
  <c r="B800" i="63" s="1"/>
  <c r="D800" i="63" s="1"/>
  <c r="D802" i="63" s="1"/>
  <c r="A805" i="63"/>
  <c r="E791" i="63"/>
  <c r="D791" i="63"/>
  <c r="C791" i="63"/>
  <c r="B791" i="63"/>
  <c r="E790" i="63"/>
  <c r="D790" i="63"/>
  <c r="C790" i="63"/>
  <c r="B790" i="63"/>
  <c r="E789" i="63"/>
  <c r="D789" i="63"/>
  <c r="C789" i="63"/>
  <c r="B789" i="63"/>
  <c r="E785" i="63"/>
  <c r="D785" i="63"/>
  <c r="C785" i="63"/>
  <c r="B785" i="63"/>
  <c r="E784" i="63"/>
  <c r="D784" i="63"/>
  <c r="C784" i="63"/>
  <c r="B784" i="63"/>
  <c r="E783" i="63"/>
  <c r="D783" i="63"/>
  <c r="C783" i="63"/>
  <c r="B783" i="63"/>
  <c r="M778" i="63"/>
  <c r="B772" i="63" s="1"/>
  <c r="D772" i="63" s="1"/>
  <c r="A778" i="63"/>
  <c r="M777" i="63"/>
  <c r="A777" i="63"/>
  <c r="B771" i="63"/>
  <c r="D771" i="63" s="1"/>
  <c r="P762" i="63"/>
  <c r="F762" i="63"/>
  <c r="G762" i="63" s="1"/>
  <c r="P761" i="63"/>
  <c r="F761" i="63"/>
  <c r="G761" i="63" s="1"/>
  <c r="P760" i="63"/>
  <c r="F760" i="63"/>
  <c r="G760" i="63" s="1"/>
  <c r="P758" i="63"/>
  <c r="F758" i="63"/>
  <c r="G758" i="63" s="1"/>
  <c r="P757" i="63"/>
  <c r="F757" i="63"/>
  <c r="G757" i="63" s="1"/>
  <c r="P756" i="63"/>
  <c r="F756" i="63"/>
  <c r="G756" i="63" s="1"/>
  <c r="P751" i="63"/>
  <c r="B746" i="63" s="1"/>
  <c r="D746" i="63" s="1"/>
  <c r="D748" i="63" s="1"/>
  <c r="A751" i="63"/>
  <c r="K737" i="63"/>
  <c r="B734" i="63" s="1"/>
  <c r="A737" i="63"/>
  <c r="F729" i="63"/>
  <c r="F728" i="63"/>
  <c r="F727" i="63"/>
  <c r="F726" i="63"/>
  <c r="F725" i="63"/>
  <c r="F724" i="63"/>
  <c r="F723" i="63"/>
  <c r="F722" i="63"/>
  <c r="F721" i="63"/>
  <c r="F720" i="63"/>
  <c r="F719" i="63"/>
  <c r="F718" i="63"/>
  <c r="K712" i="63"/>
  <c r="A712" i="63"/>
  <c r="B709" i="63"/>
  <c r="E703" i="63"/>
  <c r="E702" i="63"/>
  <c r="E701" i="63"/>
  <c r="E705" i="63" s="1"/>
  <c r="K697" i="63"/>
  <c r="C692" i="63" s="1"/>
  <c r="E692" i="63" s="1"/>
  <c r="E691" i="63"/>
  <c r="E690" i="63"/>
  <c r="K685" i="63"/>
  <c r="E679" i="63" s="1"/>
  <c r="K684" i="63"/>
  <c r="C677" i="63" s="1"/>
  <c r="E677" i="63" s="1"/>
  <c r="K672" i="63"/>
  <c r="C666" i="63" s="1"/>
  <c r="D666" i="63" s="1"/>
  <c r="D669" i="63" s="1"/>
  <c r="B664" i="63" s="1"/>
  <c r="Q662" i="63"/>
  <c r="D656" i="63" s="1"/>
  <c r="E656" i="63" s="1"/>
  <c r="Q661" i="63"/>
  <c r="C656" i="63" s="1"/>
  <c r="Q651" i="63"/>
  <c r="D645" i="63" s="1"/>
  <c r="E645" i="63" s="1"/>
  <c r="Q650" i="63"/>
  <c r="C645" i="63"/>
  <c r="Y639" i="63"/>
  <c r="B636" i="63" s="1"/>
  <c r="A639" i="63"/>
  <c r="Y631" i="63"/>
  <c r="B627" i="63" s="1"/>
  <c r="A631" i="63"/>
  <c r="Y630" i="63"/>
  <c r="B626" i="63"/>
  <c r="P623" i="63"/>
  <c r="B618" i="63" s="1"/>
  <c r="D618" i="63" s="1"/>
  <c r="D620" i="63" s="1"/>
  <c r="A623" i="63"/>
  <c r="E609" i="63"/>
  <c r="D609" i="63"/>
  <c r="B609" i="63"/>
  <c r="E608" i="63"/>
  <c r="D608" i="63"/>
  <c r="B608" i="63"/>
  <c r="E607" i="63"/>
  <c r="D607" i="63"/>
  <c r="B607" i="63"/>
  <c r="E603" i="63"/>
  <c r="D603" i="63"/>
  <c r="B603" i="63"/>
  <c r="E602" i="63"/>
  <c r="D602" i="63"/>
  <c r="B602" i="63"/>
  <c r="E601" i="63"/>
  <c r="D601" i="63"/>
  <c r="B601" i="63"/>
  <c r="M596" i="63"/>
  <c r="A596" i="63"/>
  <c r="M595" i="63"/>
  <c r="B589" i="63" s="1"/>
  <c r="D589" i="63" s="1"/>
  <c r="A595" i="63"/>
  <c r="B590" i="63"/>
  <c r="D590" i="63" s="1"/>
  <c r="P579" i="63"/>
  <c r="C579" i="63" s="1"/>
  <c r="C609" i="63" s="1"/>
  <c r="J609" i="63" s="1"/>
  <c r="F579" i="63"/>
  <c r="P578" i="63"/>
  <c r="F578" i="63"/>
  <c r="C578" i="63"/>
  <c r="C608" i="63" s="1"/>
  <c r="P577" i="63"/>
  <c r="F577" i="63"/>
  <c r="C577" i="63"/>
  <c r="C607" i="63" s="1"/>
  <c r="P575" i="63"/>
  <c r="F575" i="63"/>
  <c r="C575" i="63"/>
  <c r="G575" i="63" s="1"/>
  <c r="P574" i="63"/>
  <c r="F574" i="63"/>
  <c r="C574" i="63"/>
  <c r="C602" i="63" s="1"/>
  <c r="P573" i="63"/>
  <c r="F573" i="63"/>
  <c r="C573" i="63"/>
  <c r="C601" i="63" s="1"/>
  <c r="P568" i="63"/>
  <c r="B561" i="63" s="1"/>
  <c r="D561" i="63" s="1"/>
  <c r="A568" i="63"/>
  <c r="P567" i="63"/>
  <c r="B560" i="63" s="1"/>
  <c r="A567" i="63"/>
  <c r="P566" i="63"/>
  <c r="B559" i="63" s="1"/>
  <c r="A566" i="63"/>
  <c r="C560" i="63"/>
  <c r="C559" i="63"/>
  <c r="D550" i="63"/>
  <c r="K550" i="63" s="1"/>
  <c r="B547" i="63" s="1"/>
  <c r="A550" i="63"/>
  <c r="E542" i="63"/>
  <c r="E541" i="63"/>
  <c r="E540" i="63"/>
  <c r="E539" i="63"/>
  <c r="E538" i="63"/>
  <c r="E537" i="63"/>
  <c r="E536" i="63"/>
  <c r="E535" i="63"/>
  <c r="E534" i="63"/>
  <c r="E533" i="63"/>
  <c r="E532" i="63"/>
  <c r="E531" i="63"/>
  <c r="K525" i="63"/>
  <c r="B522" i="63" s="1"/>
  <c r="A525" i="63"/>
  <c r="E516" i="63"/>
  <c r="E515" i="63"/>
  <c r="E514" i="63"/>
  <c r="K510" i="63"/>
  <c r="C505" i="63" s="1"/>
  <c r="E505" i="63" s="1"/>
  <c r="E504" i="63"/>
  <c r="E503" i="63"/>
  <c r="E507" i="63" s="1"/>
  <c r="B501" i="63" s="1"/>
  <c r="K498" i="63"/>
  <c r="E492" i="63" s="1"/>
  <c r="K497" i="63"/>
  <c r="C490" i="63" s="1"/>
  <c r="E490" i="63" s="1"/>
  <c r="E494" i="63" s="1"/>
  <c r="B488" i="63" s="1"/>
  <c r="K485" i="63"/>
  <c r="C479" i="63"/>
  <c r="D479" i="63" s="1"/>
  <c r="D482" i="63" s="1"/>
  <c r="B477" i="63" s="1"/>
  <c r="Q475" i="63"/>
  <c r="Q474" i="63"/>
  <c r="C469" i="63" s="1"/>
  <c r="D469" i="63"/>
  <c r="E469" i="63" s="1"/>
  <c r="F469" i="63" s="1"/>
  <c r="F471" i="63" s="1"/>
  <c r="B466" i="63" s="1"/>
  <c r="Y463" i="63"/>
  <c r="B460" i="63" s="1"/>
  <c r="A463" i="63"/>
  <c r="Y455" i="63"/>
  <c r="B451" i="63" s="1"/>
  <c r="A455" i="63"/>
  <c r="Y454" i="63"/>
  <c r="B450" i="63"/>
  <c r="P447" i="63"/>
  <c r="A447" i="63"/>
  <c r="B442" i="63"/>
  <c r="D442" i="63" s="1"/>
  <c r="D444" i="63" s="1"/>
  <c r="E433" i="63"/>
  <c r="D433" i="63"/>
  <c r="B433" i="63"/>
  <c r="E432" i="63"/>
  <c r="D432" i="63"/>
  <c r="F432" i="63" s="1"/>
  <c r="B432" i="63"/>
  <c r="E431" i="63"/>
  <c r="D431" i="63"/>
  <c r="B431" i="63"/>
  <c r="E430" i="63"/>
  <c r="D430" i="63"/>
  <c r="B430" i="63"/>
  <c r="E427" i="63"/>
  <c r="D427" i="63"/>
  <c r="B427" i="63"/>
  <c r="M422" i="63"/>
  <c r="B416" i="63" s="1"/>
  <c r="D416" i="63" s="1"/>
  <c r="A422" i="63"/>
  <c r="M421" i="63"/>
  <c r="A421" i="63"/>
  <c r="B415" i="63"/>
  <c r="D415" i="63" s="1"/>
  <c r="D418" i="63" s="1"/>
  <c r="P405" i="63"/>
  <c r="F405" i="63"/>
  <c r="C405" i="63"/>
  <c r="C433" i="63" s="1"/>
  <c r="P404" i="63"/>
  <c r="C404" i="63" s="1"/>
  <c r="C432" i="63" s="1"/>
  <c r="J432" i="63" s="1"/>
  <c r="F404" i="63"/>
  <c r="P403" i="63"/>
  <c r="C403" i="63" s="1"/>
  <c r="F403" i="63"/>
  <c r="P402" i="63"/>
  <c r="C402" i="63" s="1"/>
  <c r="C430" i="63" s="1"/>
  <c r="F402" i="63"/>
  <c r="P400" i="63"/>
  <c r="C400" i="63" s="1"/>
  <c r="C427" i="63" s="1"/>
  <c r="F400" i="63"/>
  <c r="P395" i="63"/>
  <c r="B387" i="63" s="1"/>
  <c r="D387" i="63" s="1"/>
  <c r="A395" i="63"/>
  <c r="P394" i="63"/>
  <c r="B386" i="63" s="1"/>
  <c r="D386" i="63" s="1"/>
  <c r="A394" i="63"/>
  <c r="P393" i="63"/>
  <c r="B385" i="63" s="1"/>
  <c r="A393" i="63"/>
  <c r="P392" i="63"/>
  <c r="B384" i="63" s="1"/>
  <c r="A392" i="63"/>
  <c r="C385" i="63"/>
  <c r="C384" i="63"/>
  <c r="D375" i="63"/>
  <c r="K375" i="63" s="1"/>
  <c r="B372" i="63" s="1"/>
  <c r="A375" i="63"/>
  <c r="E367" i="63"/>
  <c r="E366" i="63"/>
  <c r="E365" i="63"/>
  <c r="E364" i="63"/>
  <c r="E363" i="63"/>
  <c r="E362" i="63"/>
  <c r="E361" i="63"/>
  <c r="E360" i="63"/>
  <c r="E359" i="63"/>
  <c r="E358" i="63"/>
  <c r="E357" i="63"/>
  <c r="E356" i="63"/>
  <c r="K350" i="63"/>
  <c r="B347" i="63" s="1"/>
  <c r="A350" i="63"/>
  <c r="E342" i="63"/>
  <c r="E341" i="63"/>
  <c r="E340" i="63"/>
  <c r="K336" i="63"/>
  <c r="C331" i="63" s="1"/>
  <c r="E331" i="63" s="1"/>
  <c r="E330" i="63"/>
  <c r="E329" i="63"/>
  <c r="K324" i="63"/>
  <c r="K323" i="63"/>
  <c r="E318" i="63"/>
  <c r="C316" i="63"/>
  <c r="E316" i="63" s="1"/>
  <c r="E320" i="63" s="1"/>
  <c r="B314" i="63" s="1"/>
  <c r="K311" i="63"/>
  <c r="C305" i="63" s="1"/>
  <c r="D305" i="63" s="1"/>
  <c r="D308" i="63" s="1"/>
  <c r="B303" i="63" s="1"/>
  <c r="Q300" i="63"/>
  <c r="D294" i="63" s="1"/>
  <c r="E294" i="63" s="1"/>
  <c r="Q299" i="63"/>
  <c r="C294" i="63" s="1"/>
  <c r="Q289" i="63"/>
  <c r="D283" i="63" s="1"/>
  <c r="E283" i="63" s="1"/>
  <c r="Q288" i="63"/>
  <c r="C283" i="63"/>
  <c r="Y277" i="63"/>
  <c r="B274" i="63" s="1"/>
  <c r="A277" i="63"/>
  <c r="Y269" i="63"/>
  <c r="A269" i="63"/>
  <c r="Y268" i="63"/>
  <c r="B264" i="63" s="1"/>
  <c r="B265" i="63"/>
  <c r="P261" i="63"/>
  <c r="B256" i="63" s="1"/>
  <c r="D256" i="63" s="1"/>
  <c r="D258" i="63" s="1"/>
  <c r="A261" i="63"/>
  <c r="E247" i="63"/>
  <c r="D247" i="63"/>
  <c r="B247" i="63"/>
  <c r="E246" i="63"/>
  <c r="D246" i="63"/>
  <c r="B246" i="63"/>
  <c r="E245" i="63"/>
  <c r="D245" i="63"/>
  <c r="B245" i="63"/>
  <c r="E244" i="63"/>
  <c r="D244" i="63"/>
  <c r="B244" i="63"/>
  <c r="E241" i="63"/>
  <c r="D241" i="63"/>
  <c r="B241" i="63"/>
  <c r="M236" i="63"/>
  <c r="B229" i="63" s="1"/>
  <c r="D229" i="63" s="1"/>
  <c r="A236" i="63"/>
  <c r="M235" i="63"/>
  <c r="B228" i="63" s="1"/>
  <c r="D228" i="63" s="1"/>
  <c r="A235" i="63"/>
  <c r="M234" i="63"/>
  <c r="B227" i="63" s="1"/>
  <c r="D227" i="63" s="1"/>
  <c r="A234" i="63"/>
  <c r="P217" i="63"/>
  <c r="C217" i="63" s="1"/>
  <c r="C247" i="63" s="1"/>
  <c r="F217" i="63"/>
  <c r="G217" i="63" s="1"/>
  <c r="P216" i="63"/>
  <c r="F216" i="63"/>
  <c r="C216" i="63"/>
  <c r="C246" i="63" s="1"/>
  <c r="P215" i="63"/>
  <c r="F215" i="63"/>
  <c r="C215" i="63"/>
  <c r="C245" i="63" s="1"/>
  <c r="P214" i="63"/>
  <c r="C214" i="63" s="1"/>
  <c r="C244" i="63" s="1"/>
  <c r="F214" i="63"/>
  <c r="P212" i="63"/>
  <c r="F212" i="63"/>
  <c r="C212" i="63"/>
  <c r="C241" i="63" s="1"/>
  <c r="P207" i="63"/>
  <c r="B199" i="63" s="1"/>
  <c r="D199" i="63" s="1"/>
  <c r="A207" i="63"/>
  <c r="P206" i="63"/>
  <c r="B198" i="63" s="1"/>
  <c r="D198" i="63" s="1"/>
  <c r="A206" i="63"/>
  <c r="P205" i="63"/>
  <c r="B197" i="63" s="1"/>
  <c r="A205" i="63"/>
  <c r="P204" i="63"/>
  <c r="A204" i="63"/>
  <c r="C197" i="63"/>
  <c r="C196" i="63"/>
  <c r="B196" i="63"/>
  <c r="K186" i="63"/>
  <c r="B183" i="63" s="1"/>
  <c r="A186" i="63"/>
  <c r="F178" i="63"/>
  <c r="F177" i="63"/>
  <c r="F176" i="63"/>
  <c r="F175" i="63"/>
  <c r="F174" i="63"/>
  <c r="F173" i="63"/>
  <c r="F172" i="63"/>
  <c r="F171" i="63"/>
  <c r="F170" i="63"/>
  <c r="F169" i="63"/>
  <c r="F168" i="63"/>
  <c r="F167" i="63"/>
  <c r="F166" i="63"/>
  <c r="K160" i="63"/>
  <c r="B157" i="63" s="1"/>
  <c r="A160" i="63"/>
  <c r="E151" i="63"/>
  <c r="E150" i="63"/>
  <c r="E149" i="63"/>
  <c r="K145" i="63"/>
  <c r="C140" i="63" s="1"/>
  <c r="E140" i="63" s="1"/>
  <c r="E139" i="63"/>
  <c r="E138" i="63"/>
  <c r="K133" i="63"/>
  <c r="K132" i="63"/>
  <c r="C125" i="63" s="1"/>
  <c r="E125" i="63" s="1"/>
  <c r="E127" i="63"/>
  <c r="K120" i="63"/>
  <c r="C114" i="63" s="1"/>
  <c r="D114" i="63" s="1"/>
  <c r="D117" i="63" s="1"/>
  <c r="B112" i="63" s="1"/>
  <c r="Q110" i="63"/>
  <c r="Q109" i="63"/>
  <c r="D104" i="63"/>
  <c r="E104" i="63" s="1"/>
  <c r="C104" i="63"/>
  <c r="Y98" i="63"/>
  <c r="B95" i="63" s="1"/>
  <c r="A98" i="63"/>
  <c r="Y90" i="63"/>
  <c r="B86" i="63" s="1"/>
  <c r="A90" i="63"/>
  <c r="Y89" i="63"/>
  <c r="B85" i="63" s="1"/>
  <c r="P82" i="63"/>
  <c r="B77" i="63" s="1"/>
  <c r="D77" i="63" s="1"/>
  <c r="D79" i="63" s="1"/>
  <c r="A82" i="63"/>
  <c r="E68" i="63"/>
  <c r="D68" i="63"/>
  <c r="B68" i="63"/>
  <c r="E67" i="63"/>
  <c r="D67" i="63"/>
  <c r="B67" i="63"/>
  <c r="E66" i="63"/>
  <c r="D66" i="63"/>
  <c r="B66" i="63"/>
  <c r="E65" i="63"/>
  <c r="D65" i="63"/>
  <c r="B65" i="63"/>
  <c r="E64" i="63"/>
  <c r="D64" i="63"/>
  <c r="B64" i="63"/>
  <c r="E63" i="63"/>
  <c r="D63" i="63"/>
  <c r="B63" i="63"/>
  <c r="E62" i="63"/>
  <c r="D62" i="63"/>
  <c r="B62" i="63"/>
  <c r="E61" i="63"/>
  <c r="D61" i="63"/>
  <c r="B61" i="63"/>
  <c r="E58" i="63"/>
  <c r="D58" i="63"/>
  <c r="B58" i="63"/>
  <c r="E57" i="63"/>
  <c r="D57" i="63"/>
  <c r="B57" i="63"/>
  <c r="E56" i="63"/>
  <c r="D56" i="63"/>
  <c r="B56" i="63"/>
  <c r="I51" i="63"/>
  <c r="M51" i="63" s="1"/>
  <c r="A51" i="63"/>
  <c r="M50" i="63"/>
  <c r="A50" i="63"/>
  <c r="B45" i="63"/>
  <c r="D45" i="63" s="1"/>
  <c r="B44" i="63"/>
  <c r="D44" i="63" s="1"/>
  <c r="D47" i="63" s="1"/>
  <c r="P34" i="63"/>
  <c r="C34" i="63" s="1"/>
  <c r="C68" i="63" s="1"/>
  <c r="F34" i="63"/>
  <c r="G34" i="63" s="1"/>
  <c r="P33" i="63"/>
  <c r="F33" i="63"/>
  <c r="C33" i="63"/>
  <c r="C67" i="63" s="1"/>
  <c r="P32" i="63"/>
  <c r="F32" i="63"/>
  <c r="C32" i="63"/>
  <c r="C66" i="63" s="1"/>
  <c r="P31" i="63"/>
  <c r="C31" i="63" s="1"/>
  <c r="C65" i="63" s="1"/>
  <c r="F31" i="63"/>
  <c r="G31" i="63" s="1"/>
  <c r="P30" i="63"/>
  <c r="F30" i="63"/>
  <c r="C30" i="63"/>
  <c r="C64" i="63" s="1"/>
  <c r="P29" i="63"/>
  <c r="C29" i="63" s="1"/>
  <c r="C63" i="63" s="1"/>
  <c r="F29" i="63"/>
  <c r="P28" i="63"/>
  <c r="C28" i="63" s="1"/>
  <c r="C62" i="63" s="1"/>
  <c r="F28" i="63"/>
  <c r="G28" i="63" s="1"/>
  <c r="P27" i="63"/>
  <c r="F27" i="63"/>
  <c r="C27" i="63"/>
  <c r="C61" i="63" s="1"/>
  <c r="P25" i="63"/>
  <c r="F25" i="63"/>
  <c r="C25" i="63"/>
  <c r="C58" i="63" s="1"/>
  <c r="P24" i="63"/>
  <c r="C24" i="63" s="1"/>
  <c r="C57" i="63" s="1"/>
  <c r="J57" i="63" s="1"/>
  <c r="F24" i="63"/>
  <c r="G24" i="63" s="1"/>
  <c r="P23" i="63"/>
  <c r="F23" i="63"/>
  <c r="C23" i="63"/>
  <c r="C56" i="63" s="1"/>
  <c r="P18" i="63"/>
  <c r="A18" i="63"/>
  <c r="I17" i="63"/>
  <c r="P17" i="63" s="1"/>
  <c r="B10" i="63" s="1"/>
  <c r="A17" i="63"/>
  <c r="N16" i="63"/>
  <c r="I16" i="63"/>
  <c r="P16" i="63" s="1"/>
  <c r="B9" i="63" s="1"/>
  <c r="A16" i="63"/>
  <c r="B11" i="63"/>
  <c r="D11" i="63" s="1"/>
  <c r="C10" i="63"/>
  <c r="C9" i="63"/>
  <c r="A206" i="60"/>
  <c r="L206" i="60"/>
  <c r="B196" i="60" s="1"/>
  <c r="D43" i="60"/>
  <c r="D41" i="60"/>
  <c r="B43" i="60"/>
  <c r="B41" i="60"/>
  <c r="A43" i="60"/>
  <c r="A50" i="60" s="1"/>
  <c r="A41" i="60"/>
  <c r="A48" i="60" s="1"/>
  <c r="B35" i="60"/>
  <c r="B34" i="60"/>
  <c r="B33" i="60"/>
  <c r="B32" i="60"/>
  <c r="A35" i="60"/>
  <c r="A34" i="60"/>
  <c r="A33" i="60"/>
  <c r="A32" i="60"/>
  <c r="L275" i="60"/>
  <c r="L274" i="60"/>
  <c r="A271" i="60"/>
  <c r="A270" i="60"/>
  <c r="A269" i="60"/>
  <c r="L268" i="60"/>
  <c r="A268" i="60"/>
  <c r="L259" i="60"/>
  <c r="H255" i="60"/>
  <c r="H250" i="60"/>
  <c r="A247" i="60"/>
  <c r="R242" i="60"/>
  <c r="J242" i="60"/>
  <c r="H242" i="60"/>
  <c r="O242" i="60" s="1"/>
  <c r="H238" i="60"/>
  <c r="O238" i="60" s="1"/>
  <c r="R234" i="60"/>
  <c r="J234" i="60"/>
  <c r="Q234" i="60" s="1"/>
  <c r="I234" i="60"/>
  <c r="P234" i="60" s="1"/>
  <c r="H234" i="60"/>
  <c r="O234" i="60" s="1"/>
  <c r="R233" i="60"/>
  <c r="J233" i="60"/>
  <c r="Q233" i="60" s="1"/>
  <c r="I233" i="60"/>
  <c r="P233" i="60" s="1"/>
  <c r="H233" i="60"/>
  <c r="O233" i="60" s="1"/>
  <c r="R232" i="60"/>
  <c r="Q232" i="60"/>
  <c r="I232" i="60"/>
  <c r="P232" i="60" s="1"/>
  <c r="H232" i="60"/>
  <c r="O232" i="60" s="1"/>
  <c r="M228" i="60"/>
  <c r="L233" i="60" s="1"/>
  <c r="H228" i="60"/>
  <c r="O228" i="60" s="1"/>
  <c r="L196" i="60"/>
  <c r="R179" i="60"/>
  <c r="A207" i="60"/>
  <c r="R169" i="60"/>
  <c r="R170" i="60"/>
  <c r="R168" i="60"/>
  <c r="Q168" i="60"/>
  <c r="J170" i="60"/>
  <c r="Q170" i="60" s="1"/>
  <c r="I170" i="60"/>
  <c r="P170" i="60" s="1"/>
  <c r="H170" i="60"/>
  <c r="O170" i="60" s="1"/>
  <c r="E170" i="60"/>
  <c r="F170" i="60" s="1"/>
  <c r="J169" i="60"/>
  <c r="Q169" i="60" s="1"/>
  <c r="I169" i="60"/>
  <c r="P169" i="60" s="1"/>
  <c r="H169" i="60"/>
  <c r="O169" i="60" s="1"/>
  <c r="E169" i="60"/>
  <c r="F169" i="60" s="1"/>
  <c r="J168" i="60"/>
  <c r="I168" i="60"/>
  <c r="P168" i="60" s="1"/>
  <c r="H168" i="60"/>
  <c r="O168" i="60" s="1"/>
  <c r="E168" i="60"/>
  <c r="F168" i="60" s="1"/>
  <c r="F156" i="60"/>
  <c r="E135" i="60"/>
  <c r="Q68" i="60"/>
  <c r="Q61" i="60"/>
  <c r="L61" i="60"/>
  <c r="V61" i="60" s="1"/>
  <c r="J61" i="60"/>
  <c r="U61" i="60" s="1"/>
  <c r="B61" i="60"/>
  <c r="F61" i="60" s="1"/>
  <c r="A61" i="60"/>
  <c r="H61" i="60" s="1"/>
  <c r="O61" i="60" s="1"/>
  <c r="T61" i="60" s="1"/>
  <c r="H53" i="60"/>
  <c r="O53" i="60" s="1"/>
  <c r="T53" i="60" s="1"/>
  <c r="H54" i="60"/>
  <c r="O54" i="60" s="1"/>
  <c r="T54" i="60" s="1"/>
  <c r="A58" i="60"/>
  <c r="H58" i="60" s="1"/>
  <c r="O58" i="60" s="1"/>
  <c r="T58" i="60" s="1"/>
  <c r="B58" i="60"/>
  <c r="F58" i="60" s="1"/>
  <c r="L58" i="60"/>
  <c r="V58" i="60" s="1"/>
  <c r="Q58" i="60"/>
  <c r="A59" i="60"/>
  <c r="H59" i="60" s="1"/>
  <c r="O59" i="60" s="1"/>
  <c r="T59" i="60" s="1"/>
  <c r="B59" i="60"/>
  <c r="F59" i="60" s="1"/>
  <c r="L59" i="60"/>
  <c r="V59" i="60" s="1"/>
  <c r="Q59" i="60"/>
  <c r="A60" i="60"/>
  <c r="H60" i="60" s="1"/>
  <c r="O60" i="60" s="1"/>
  <c r="T60" i="60" s="1"/>
  <c r="B60" i="60"/>
  <c r="F60" i="60" s="1"/>
  <c r="J60" i="60"/>
  <c r="U60" i="60" s="1"/>
  <c r="L60" i="60"/>
  <c r="V60" i="60" s="1"/>
  <c r="Q60" i="60"/>
  <c r="H68" i="60"/>
  <c r="I68" i="60"/>
  <c r="V68" i="60"/>
  <c r="F86" i="60"/>
  <c r="F88" i="60" s="1"/>
  <c r="B82" i="60" s="1"/>
  <c r="I86" i="60"/>
  <c r="J86" i="60"/>
  <c r="L86" i="60"/>
  <c r="M86" i="60"/>
  <c r="A95" i="60"/>
  <c r="A105" i="60" s="1"/>
  <c r="B95" i="60"/>
  <c r="B105" i="60" s="1"/>
  <c r="C95" i="60"/>
  <c r="D95" i="60"/>
  <c r="C105" i="60"/>
  <c r="D105" i="60"/>
  <c r="H110" i="60"/>
  <c r="F113" i="60"/>
  <c r="F115" i="60" s="1"/>
  <c r="B110" i="60" s="1"/>
  <c r="H113" i="60"/>
  <c r="I113" i="60"/>
  <c r="L113" i="60"/>
  <c r="A118" i="60"/>
  <c r="Q118" i="60"/>
  <c r="J113" i="60" s="1"/>
  <c r="E48" i="60"/>
  <c r="D48" i="60"/>
  <c r="C48" i="60"/>
  <c r="J11" i="60"/>
  <c r="I11" i="60"/>
  <c r="A26" i="60"/>
  <c r="A24" i="60"/>
  <c r="M19" i="60"/>
  <c r="J19" i="60"/>
  <c r="I19" i="60"/>
  <c r="J17" i="60"/>
  <c r="I17" i="60"/>
  <c r="J10" i="60"/>
  <c r="I10" i="60"/>
  <c r="J9" i="60"/>
  <c r="I9" i="60"/>
  <c r="AN143" i="12"/>
  <c r="AM143" i="12"/>
  <c r="AO143" i="12" s="1"/>
  <c r="AP143" i="12" s="1"/>
  <c r="AN142" i="12"/>
  <c r="AM142" i="12"/>
  <c r="J142" i="12"/>
  <c r="A142" i="12"/>
  <c r="AN141" i="12"/>
  <c r="AM141" i="12"/>
  <c r="AF141" i="12"/>
  <c r="D140" i="12" s="1"/>
  <c r="H140" i="12" s="1"/>
  <c r="J141" i="12"/>
  <c r="A141" i="12"/>
  <c r="AN140" i="12"/>
  <c r="AM140" i="12"/>
  <c r="AO140" i="12" s="1"/>
  <c r="AP140" i="12" s="1"/>
  <c r="AE140" i="12"/>
  <c r="AD140" i="12"/>
  <c r="AC140" i="12"/>
  <c r="AB140" i="12"/>
  <c r="AA140" i="12"/>
  <c r="Z140" i="12"/>
  <c r="Y140" i="12"/>
  <c r="X140" i="12"/>
  <c r="W140" i="12"/>
  <c r="V140" i="12"/>
  <c r="U140" i="12"/>
  <c r="T140" i="12"/>
  <c r="S140" i="12"/>
  <c r="R140" i="12"/>
  <c r="Q140" i="12"/>
  <c r="P140" i="12"/>
  <c r="O140" i="12"/>
  <c r="J140" i="12"/>
  <c r="AN139" i="12"/>
  <c r="AM139" i="12"/>
  <c r="AF139" i="12"/>
  <c r="D139" i="12" s="1"/>
  <c r="J139" i="12"/>
  <c r="AN138" i="12"/>
  <c r="AM138" i="12"/>
  <c r="AE138" i="12"/>
  <c r="AD138" i="12"/>
  <c r="AC138" i="12"/>
  <c r="AB138" i="12"/>
  <c r="AA138" i="12"/>
  <c r="Z138" i="12"/>
  <c r="Y138" i="12"/>
  <c r="X138" i="12"/>
  <c r="W138" i="12"/>
  <c r="V138" i="12"/>
  <c r="U138" i="12"/>
  <c r="T138" i="12"/>
  <c r="S138" i="12"/>
  <c r="R138" i="12"/>
  <c r="Q138" i="12"/>
  <c r="P138" i="12"/>
  <c r="O138" i="12"/>
  <c r="J138" i="12"/>
  <c r="AN137" i="12"/>
  <c r="AM137" i="12"/>
  <c r="AO137" i="12" s="1"/>
  <c r="AP137" i="12" s="1"/>
  <c r="AF137" i="12"/>
  <c r="E136" i="12" s="1"/>
  <c r="J137" i="12"/>
  <c r="AN136" i="12"/>
  <c r="AM136" i="12"/>
  <c r="AF136" i="12"/>
  <c r="B136" i="12" s="1"/>
  <c r="J136" i="12"/>
  <c r="I136" i="12"/>
  <c r="H136" i="12"/>
  <c r="F136" i="12"/>
  <c r="A136" i="12"/>
  <c r="AN134" i="12"/>
  <c r="AM134" i="12"/>
  <c r="AN133" i="12"/>
  <c r="AM133" i="12"/>
  <c r="J133" i="12"/>
  <c r="A133" i="12"/>
  <c r="AN132" i="12"/>
  <c r="AM132" i="12"/>
  <c r="AF132" i="12"/>
  <c r="D131" i="12" s="1"/>
  <c r="H131" i="12" s="1"/>
  <c r="J132" i="12"/>
  <c r="A132" i="12"/>
  <c r="AN131" i="12"/>
  <c r="AM131" i="12"/>
  <c r="AO131" i="12" s="1"/>
  <c r="AP131" i="12" s="1"/>
  <c r="AE131" i="12"/>
  <c r="AD131" i="12"/>
  <c r="AC131" i="12"/>
  <c r="AB131" i="12"/>
  <c r="AA131" i="12"/>
  <c r="Z131" i="12"/>
  <c r="Y131" i="12"/>
  <c r="X131" i="12"/>
  <c r="W131" i="12"/>
  <c r="V131" i="12"/>
  <c r="U131" i="12"/>
  <c r="T131" i="12"/>
  <c r="S131" i="12"/>
  <c r="R131" i="12"/>
  <c r="Q131" i="12"/>
  <c r="P131" i="12"/>
  <c r="O131" i="12"/>
  <c r="J131" i="12"/>
  <c r="AN130" i="12"/>
  <c r="AM130" i="12"/>
  <c r="AF130" i="12"/>
  <c r="D130" i="12" s="1"/>
  <c r="J130" i="12"/>
  <c r="AN129" i="12"/>
  <c r="AM129" i="12"/>
  <c r="AE129" i="12"/>
  <c r="AD129" i="12"/>
  <c r="AC129" i="12"/>
  <c r="AB129" i="12"/>
  <c r="AA129" i="12"/>
  <c r="Z129" i="12"/>
  <c r="Y129" i="12"/>
  <c r="X129" i="12"/>
  <c r="W129" i="12"/>
  <c r="V129" i="12"/>
  <c r="U129" i="12"/>
  <c r="T129" i="12"/>
  <c r="S129" i="12"/>
  <c r="R129" i="12"/>
  <c r="Q129" i="12"/>
  <c r="P129" i="12"/>
  <c r="O129" i="12"/>
  <c r="J129" i="12"/>
  <c r="AN128" i="12"/>
  <c r="AM128" i="12"/>
  <c r="AF128" i="12"/>
  <c r="E127" i="12" s="1"/>
  <c r="J128" i="12"/>
  <c r="AN127" i="12"/>
  <c r="AM127" i="12"/>
  <c r="AF127" i="12"/>
  <c r="B127" i="12" s="1"/>
  <c r="J127" i="12"/>
  <c r="I127" i="12"/>
  <c r="H127" i="12"/>
  <c r="F127" i="12"/>
  <c r="A127" i="12"/>
  <c r="AN113" i="12"/>
  <c r="AM113" i="12"/>
  <c r="J113" i="12"/>
  <c r="A113" i="12"/>
  <c r="AN112" i="12"/>
  <c r="AM112" i="12"/>
  <c r="AF112" i="12"/>
  <c r="D111" i="12" s="1"/>
  <c r="J112" i="12"/>
  <c r="A112" i="12"/>
  <c r="AN111" i="12"/>
  <c r="AM111" i="12"/>
  <c r="AE111" i="12"/>
  <c r="AD111" i="12"/>
  <c r="AC111" i="12"/>
  <c r="AB111" i="12"/>
  <c r="AA111" i="12"/>
  <c r="Z111" i="12"/>
  <c r="Y111" i="12"/>
  <c r="X111" i="12"/>
  <c r="W111" i="12"/>
  <c r="V111" i="12"/>
  <c r="U111" i="12"/>
  <c r="T111" i="12"/>
  <c r="S111" i="12"/>
  <c r="R111" i="12"/>
  <c r="Q111" i="12"/>
  <c r="P111" i="12"/>
  <c r="O111" i="12"/>
  <c r="J111" i="12"/>
  <c r="AN110" i="12"/>
  <c r="AM110" i="12"/>
  <c r="AF110" i="12"/>
  <c r="D110" i="12" s="1"/>
  <c r="J110" i="12"/>
  <c r="AN109" i="12"/>
  <c r="AM109" i="12"/>
  <c r="AE109" i="12"/>
  <c r="AD109" i="12"/>
  <c r="AC109" i="12"/>
  <c r="AB109" i="12"/>
  <c r="AA109" i="12"/>
  <c r="Z109" i="12"/>
  <c r="Y109" i="12"/>
  <c r="X109" i="12"/>
  <c r="W109" i="12"/>
  <c r="V109" i="12"/>
  <c r="U109" i="12"/>
  <c r="T109" i="12"/>
  <c r="S109" i="12"/>
  <c r="R109" i="12"/>
  <c r="Q109" i="12"/>
  <c r="P109" i="12"/>
  <c r="O109" i="12"/>
  <c r="J109" i="12"/>
  <c r="AN108" i="12"/>
  <c r="AM108" i="12"/>
  <c r="AF108" i="12"/>
  <c r="E107" i="12" s="1"/>
  <c r="F108" i="12" s="1"/>
  <c r="J108" i="12"/>
  <c r="AN107" i="12"/>
  <c r="AM107" i="12"/>
  <c r="AF107" i="12"/>
  <c r="B107" i="12" s="1"/>
  <c r="J107" i="12"/>
  <c r="I107" i="12"/>
  <c r="H107" i="12"/>
  <c r="F107" i="12"/>
  <c r="A107" i="12"/>
  <c r="AN105" i="12"/>
  <c r="AM105" i="12"/>
  <c r="O46" i="12"/>
  <c r="AN104" i="12"/>
  <c r="AM104" i="12"/>
  <c r="J104" i="12"/>
  <c r="A104" i="12"/>
  <c r="AN103" i="12"/>
  <c r="AM103" i="12"/>
  <c r="AF103" i="12"/>
  <c r="D102" i="12" s="1"/>
  <c r="J103" i="12"/>
  <c r="A103" i="12"/>
  <c r="AN102" i="12"/>
  <c r="AM102" i="12"/>
  <c r="AE102" i="12"/>
  <c r="AD102" i="12"/>
  <c r="AC102" i="12"/>
  <c r="AB102" i="12"/>
  <c r="AA102" i="12"/>
  <c r="Z102" i="12"/>
  <c r="Y102" i="12"/>
  <c r="X102" i="12"/>
  <c r="W102" i="12"/>
  <c r="V102" i="12"/>
  <c r="U102" i="12"/>
  <c r="T102" i="12"/>
  <c r="S102" i="12"/>
  <c r="R102" i="12"/>
  <c r="Q102" i="12"/>
  <c r="P102" i="12"/>
  <c r="O102" i="12"/>
  <c r="J102" i="12"/>
  <c r="AN101" i="12"/>
  <c r="AM101" i="12"/>
  <c r="AF101" i="12"/>
  <c r="D101" i="12" s="1"/>
  <c r="J101" i="12"/>
  <c r="AN100" i="12"/>
  <c r="AM100" i="12"/>
  <c r="AE100" i="12"/>
  <c r="AD100" i="12"/>
  <c r="AC100" i="12"/>
  <c r="AB100" i="12"/>
  <c r="AA100" i="12"/>
  <c r="Z100" i="12"/>
  <c r="Y100" i="12"/>
  <c r="X100" i="12"/>
  <c r="W100" i="12"/>
  <c r="V100" i="12"/>
  <c r="U100" i="12"/>
  <c r="T100" i="12"/>
  <c r="S100" i="12"/>
  <c r="R100" i="12"/>
  <c r="Q100" i="12"/>
  <c r="P100" i="12"/>
  <c r="O100" i="12"/>
  <c r="J100" i="12"/>
  <c r="AN99" i="12"/>
  <c r="AM99" i="12"/>
  <c r="AF99" i="12"/>
  <c r="E98" i="12" s="1"/>
  <c r="F100" i="12" s="1"/>
  <c r="J99" i="12"/>
  <c r="AN98" i="12"/>
  <c r="AM98" i="12"/>
  <c r="AF98" i="12"/>
  <c r="B98" i="12" s="1"/>
  <c r="D99" i="12" s="1"/>
  <c r="J98" i="12"/>
  <c r="I98" i="12"/>
  <c r="H98" i="12"/>
  <c r="F98" i="12"/>
  <c r="A98" i="12"/>
  <c r="AN96" i="12"/>
  <c r="AM96" i="12"/>
  <c r="AN95" i="12"/>
  <c r="AM95" i="12"/>
  <c r="J95" i="12"/>
  <c r="A95" i="12"/>
  <c r="AN94" i="12"/>
  <c r="AM94" i="12"/>
  <c r="AF94" i="12"/>
  <c r="D93" i="12" s="1"/>
  <c r="J94" i="12"/>
  <c r="A94" i="12"/>
  <c r="AN93" i="12"/>
  <c r="AM93" i="12"/>
  <c r="AE93" i="12"/>
  <c r="AD93" i="12"/>
  <c r="AC93" i="12"/>
  <c r="AB93" i="12"/>
  <c r="AA93" i="12"/>
  <c r="Z93" i="12"/>
  <c r="Y93" i="12"/>
  <c r="X93" i="12"/>
  <c r="W93" i="12"/>
  <c r="V93" i="12"/>
  <c r="U93" i="12"/>
  <c r="T93" i="12"/>
  <c r="S93" i="12"/>
  <c r="R93" i="12"/>
  <c r="Q93" i="12"/>
  <c r="P93" i="12"/>
  <c r="O93" i="12"/>
  <c r="J93" i="12"/>
  <c r="AN92" i="12"/>
  <c r="AM92" i="12"/>
  <c r="AO92" i="12" s="1"/>
  <c r="AP92" i="12" s="1"/>
  <c r="AF92" i="12"/>
  <c r="D92" i="12" s="1"/>
  <c r="J92" i="12"/>
  <c r="AN91" i="12"/>
  <c r="AM91" i="12"/>
  <c r="AE91" i="12"/>
  <c r="AD91" i="12"/>
  <c r="AC91" i="12"/>
  <c r="AB91" i="12"/>
  <c r="AA91" i="12"/>
  <c r="Z91" i="12"/>
  <c r="Y91" i="12"/>
  <c r="X91" i="12"/>
  <c r="W91" i="12"/>
  <c r="V91" i="12"/>
  <c r="U91" i="12"/>
  <c r="T91" i="12"/>
  <c r="S91" i="12"/>
  <c r="R91" i="12"/>
  <c r="Q91" i="12"/>
  <c r="P91" i="12"/>
  <c r="O91" i="12"/>
  <c r="J91" i="12"/>
  <c r="AN90" i="12"/>
  <c r="AM90" i="12"/>
  <c r="AF90" i="12"/>
  <c r="E89" i="12" s="1"/>
  <c r="J90" i="12"/>
  <c r="AN89" i="12"/>
  <c r="AM89" i="12"/>
  <c r="AF89" i="12"/>
  <c r="B89" i="12" s="1"/>
  <c r="D90" i="12" s="1"/>
  <c r="J89" i="12"/>
  <c r="I89" i="12"/>
  <c r="H89" i="12"/>
  <c r="F89" i="12"/>
  <c r="A89" i="12"/>
  <c r="AN87" i="12"/>
  <c r="AM87" i="12"/>
  <c r="AN86" i="12"/>
  <c r="AM86" i="12"/>
  <c r="J86" i="12"/>
  <c r="A86" i="12"/>
  <c r="AN85" i="12"/>
  <c r="AM85" i="12"/>
  <c r="AF85" i="12"/>
  <c r="D84" i="12" s="1"/>
  <c r="J85" i="12"/>
  <c r="A85" i="12"/>
  <c r="AN84" i="12"/>
  <c r="AM84" i="12"/>
  <c r="AE84" i="12"/>
  <c r="AD84" i="12"/>
  <c r="AC84" i="12"/>
  <c r="AB84" i="12"/>
  <c r="AA84" i="12"/>
  <c r="Z84" i="12"/>
  <c r="Y84" i="12"/>
  <c r="X84" i="12"/>
  <c r="W84" i="12"/>
  <c r="V84" i="12"/>
  <c r="U84" i="12"/>
  <c r="T84" i="12"/>
  <c r="S84" i="12"/>
  <c r="R84" i="12"/>
  <c r="Q84" i="12"/>
  <c r="P84" i="12"/>
  <c r="O84" i="12"/>
  <c r="J84" i="12"/>
  <c r="AN83" i="12"/>
  <c r="AM83" i="12"/>
  <c r="AF83" i="12"/>
  <c r="D83" i="12" s="1"/>
  <c r="J83" i="12"/>
  <c r="AN82" i="12"/>
  <c r="AM82" i="12"/>
  <c r="AE82" i="12"/>
  <c r="AD82" i="12"/>
  <c r="AC82" i="12"/>
  <c r="AB82" i="12"/>
  <c r="AA82" i="12"/>
  <c r="Z82" i="12"/>
  <c r="Y82" i="12"/>
  <c r="X82" i="12"/>
  <c r="W82" i="12"/>
  <c r="V82" i="12"/>
  <c r="U82" i="12"/>
  <c r="T82" i="12"/>
  <c r="S82" i="12"/>
  <c r="R82" i="12"/>
  <c r="Q82" i="12"/>
  <c r="P82" i="12"/>
  <c r="O82" i="12"/>
  <c r="J82" i="12"/>
  <c r="AN81" i="12"/>
  <c r="AM81" i="12"/>
  <c r="AF81" i="12"/>
  <c r="E80" i="12" s="1"/>
  <c r="J81" i="12"/>
  <c r="AN80" i="12"/>
  <c r="AM80" i="12"/>
  <c r="AF80" i="12"/>
  <c r="B80" i="12" s="1"/>
  <c r="D81" i="12" s="1"/>
  <c r="J80" i="12"/>
  <c r="I80" i="12"/>
  <c r="H80" i="12"/>
  <c r="F80" i="12"/>
  <c r="A80" i="12"/>
  <c r="AN78" i="12"/>
  <c r="AM78" i="12"/>
  <c r="AN77" i="12"/>
  <c r="AM77" i="12"/>
  <c r="J77" i="12"/>
  <c r="A77" i="12"/>
  <c r="AN76" i="12"/>
  <c r="AM76" i="12"/>
  <c r="AF76" i="12"/>
  <c r="D75" i="12" s="1"/>
  <c r="J76" i="12"/>
  <c r="A76" i="12"/>
  <c r="AN75" i="12"/>
  <c r="AM75" i="12"/>
  <c r="AO75" i="12" s="1"/>
  <c r="AP75" i="12" s="1"/>
  <c r="AE75" i="12"/>
  <c r="AD75" i="12"/>
  <c r="AC75" i="12"/>
  <c r="AB75" i="12"/>
  <c r="AA75" i="12"/>
  <c r="Z75" i="12"/>
  <c r="Y75" i="12"/>
  <c r="X75" i="12"/>
  <c r="W75" i="12"/>
  <c r="V75" i="12"/>
  <c r="U75" i="12"/>
  <c r="T75" i="12"/>
  <c r="S75" i="12"/>
  <c r="R75" i="12"/>
  <c r="Q75" i="12"/>
  <c r="P75" i="12"/>
  <c r="O75" i="12"/>
  <c r="J75" i="12"/>
  <c r="AN74" i="12"/>
  <c r="AM74" i="12"/>
  <c r="AF74" i="12"/>
  <c r="D74" i="12" s="1"/>
  <c r="J74" i="12"/>
  <c r="AN73" i="12"/>
  <c r="AM73" i="12"/>
  <c r="AO73" i="12" s="1"/>
  <c r="AP73" i="12" s="1"/>
  <c r="AE73" i="12"/>
  <c r="AD73" i="12"/>
  <c r="AC73" i="12"/>
  <c r="AB73" i="12"/>
  <c r="AA73" i="12"/>
  <c r="Z73" i="12"/>
  <c r="Y73" i="12"/>
  <c r="X73" i="12"/>
  <c r="W73" i="12"/>
  <c r="V73" i="12"/>
  <c r="U73" i="12"/>
  <c r="T73" i="12"/>
  <c r="S73" i="12"/>
  <c r="R73" i="12"/>
  <c r="Q73" i="12"/>
  <c r="P73" i="12"/>
  <c r="O73" i="12"/>
  <c r="J73" i="12"/>
  <c r="AN72" i="12"/>
  <c r="AM72" i="12"/>
  <c r="AF72" i="12"/>
  <c r="E71" i="12" s="1"/>
  <c r="J72" i="12"/>
  <c r="AN71" i="12"/>
  <c r="AM71" i="12"/>
  <c r="AO71" i="12" s="1"/>
  <c r="AP71" i="12" s="1"/>
  <c r="M77" i="12" s="1"/>
  <c r="AF71" i="12"/>
  <c r="B71" i="12" s="1"/>
  <c r="J71" i="12"/>
  <c r="I71" i="12"/>
  <c r="H71" i="12"/>
  <c r="F71" i="12"/>
  <c r="A71" i="12"/>
  <c r="AN69" i="12"/>
  <c r="AM69" i="12"/>
  <c r="AN68" i="12"/>
  <c r="AM68" i="12"/>
  <c r="J68" i="12"/>
  <c r="A68" i="12"/>
  <c r="AN67" i="12"/>
  <c r="AM67" i="12"/>
  <c r="AF67" i="12"/>
  <c r="D66" i="12" s="1"/>
  <c r="J67" i="12"/>
  <c r="A67" i="12"/>
  <c r="AN66" i="12"/>
  <c r="AM66" i="12"/>
  <c r="AE66" i="12"/>
  <c r="AD66" i="12"/>
  <c r="AC66" i="12"/>
  <c r="AB66" i="12"/>
  <c r="AA66" i="12"/>
  <c r="Z66" i="12"/>
  <c r="Y66" i="12"/>
  <c r="X66" i="12"/>
  <c r="W66" i="12"/>
  <c r="V66" i="12"/>
  <c r="U66" i="12"/>
  <c r="T66" i="12"/>
  <c r="S66" i="12"/>
  <c r="R66" i="12"/>
  <c r="Q66" i="12"/>
  <c r="P66" i="12"/>
  <c r="O66" i="12"/>
  <c r="J66" i="12"/>
  <c r="AN65" i="12"/>
  <c r="AM65" i="12"/>
  <c r="AF65" i="12"/>
  <c r="D65" i="12" s="1"/>
  <c r="J65" i="12"/>
  <c r="AN64" i="12"/>
  <c r="AM64" i="12"/>
  <c r="AE64" i="12"/>
  <c r="AD64" i="12"/>
  <c r="AC64" i="12"/>
  <c r="AB64" i="12"/>
  <c r="AA64" i="12"/>
  <c r="Z64" i="12"/>
  <c r="Y64" i="12"/>
  <c r="X64" i="12"/>
  <c r="W64" i="12"/>
  <c r="V64" i="12"/>
  <c r="U64" i="12"/>
  <c r="T64" i="12"/>
  <c r="S64" i="12"/>
  <c r="R64" i="12"/>
  <c r="Q64" i="12"/>
  <c r="P64" i="12"/>
  <c r="O64" i="12"/>
  <c r="J64" i="12"/>
  <c r="AN63" i="12"/>
  <c r="AM63" i="12"/>
  <c r="AF63" i="12"/>
  <c r="E62" i="12" s="1"/>
  <c r="J63" i="12"/>
  <c r="AN62" i="12"/>
  <c r="AM62" i="12"/>
  <c r="AF62" i="12"/>
  <c r="B62" i="12" s="1"/>
  <c r="J62" i="12"/>
  <c r="I62" i="12"/>
  <c r="H62" i="12"/>
  <c r="F62" i="12"/>
  <c r="A62" i="12"/>
  <c r="P46" i="12"/>
  <c r="Q46" i="12"/>
  <c r="R46" i="12"/>
  <c r="S46" i="12"/>
  <c r="T46" i="12"/>
  <c r="U46" i="12"/>
  <c r="V46" i="12"/>
  <c r="W46" i="12"/>
  <c r="X46" i="12"/>
  <c r="Y46" i="12"/>
  <c r="Z46" i="12"/>
  <c r="AA46" i="12"/>
  <c r="AB46" i="12"/>
  <c r="AC46" i="12"/>
  <c r="P48" i="12"/>
  <c r="Q48" i="12"/>
  <c r="R48" i="12"/>
  <c r="S48" i="12"/>
  <c r="T48" i="12"/>
  <c r="U48" i="12"/>
  <c r="V48" i="12"/>
  <c r="W48" i="12"/>
  <c r="X48" i="12"/>
  <c r="Y48" i="12"/>
  <c r="Z48" i="12"/>
  <c r="AA48" i="12"/>
  <c r="AB48" i="12"/>
  <c r="AC48" i="12"/>
  <c r="G23" i="63" l="1"/>
  <c r="G33" i="63"/>
  <c r="F57" i="63"/>
  <c r="F58" i="63"/>
  <c r="F64" i="63"/>
  <c r="J65" i="63"/>
  <c r="F104" i="63"/>
  <c r="F106" i="63" s="1"/>
  <c r="B101" i="63" s="1"/>
  <c r="D197" i="63"/>
  <c r="F241" i="63"/>
  <c r="F294" i="63"/>
  <c r="F296" i="63" s="1"/>
  <c r="B291" i="63" s="1"/>
  <c r="E344" i="63"/>
  <c r="D385" i="63"/>
  <c r="F431" i="63"/>
  <c r="J433" i="63"/>
  <c r="E518" i="63"/>
  <c r="F601" i="63"/>
  <c r="G601" i="63" s="1"/>
  <c r="F602" i="63"/>
  <c r="F609" i="63"/>
  <c r="J789" i="63"/>
  <c r="F789" i="63"/>
  <c r="G789" i="63" s="1"/>
  <c r="N21" i="64"/>
  <c r="C15" i="64" s="1"/>
  <c r="O18" i="10"/>
  <c r="O13" i="10"/>
  <c r="J58" i="63"/>
  <c r="G214" i="63"/>
  <c r="F838" i="63"/>
  <c r="F840" i="63" s="1"/>
  <c r="B835" i="63" s="1"/>
  <c r="F645" i="63"/>
  <c r="F647" i="63" s="1"/>
  <c r="B642" i="63" s="1"/>
  <c r="E142" i="63"/>
  <c r="B136" i="63" s="1"/>
  <c r="G32" i="63"/>
  <c r="J63" i="63"/>
  <c r="G212" i="63"/>
  <c r="G219" i="63" s="1"/>
  <c r="G400" i="63"/>
  <c r="D559" i="63"/>
  <c r="J601" i="63"/>
  <c r="J605" i="63" s="1"/>
  <c r="J607" i="63"/>
  <c r="E681" i="63"/>
  <c r="B675" i="63" s="1"/>
  <c r="J791" i="63"/>
  <c r="J784" i="63"/>
  <c r="G30" i="63"/>
  <c r="F433" i="63"/>
  <c r="G433" i="63" s="1"/>
  <c r="I433" i="63" s="1"/>
  <c r="F784" i="63"/>
  <c r="G784" i="63" s="1"/>
  <c r="I784" i="63" s="1"/>
  <c r="G25" i="63"/>
  <c r="C603" i="63"/>
  <c r="F66" i="63"/>
  <c r="G66" i="63" s="1"/>
  <c r="I66" i="63" s="1"/>
  <c r="D384" i="63"/>
  <c r="F656" i="63"/>
  <c r="F658" i="63" s="1"/>
  <c r="B653" i="63" s="1"/>
  <c r="G578" i="63"/>
  <c r="F827" i="63"/>
  <c r="F829" i="63" s="1"/>
  <c r="B824" i="63" s="1"/>
  <c r="J64" i="63"/>
  <c r="E153" i="63"/>
  <c r="D560" i="63"/>
  <c r="E876" i="63"/>
  <c r="B870" i="63" s="1"/>
  <c r="F62" i="63"/>
  <c r="J66" i="63"/>
  <c r="G216" i="63"/>
  <c r="J603" i="63"/>
  <c r="E863" i="63"/>
  <c r="B857" i="63" s="1"/>
  <c r="G27" i="63"/>
  <c r="G573" i="63"/>
  <c r="G58" i="63"/>
  <c r="F283" i="63"/>
  <c r="F285" i="63" s="1"/>
  <c r="B280" i="63" s="1"/>
  <c r="D9" i="63"/>
  <c r="G64" i="63"/>
  <c r="H64" i="63" s="1"/>
  <c r="J68" i="63"/>
  <c r="G432" i="63"/>
  <c r="G574" i="63"/>
  <c r="E694" i="63"/>
  <c r="B688" i="63" s="1"/>
  <c r="J783" i="63"/>
  <c r="J787" i="63" s="1"/>
  <c r="F427" i="63"/>
  <c r="E129" i="63"/>
  <c r="B123" i="63" s="1"/>
  <c r="F245" i="63"/>
  <c r="G577" i="63"/>
  <c r="J790" i="63"/>
  <c r="J246" i="63"/>
  <c r="F430" i="63"/>
  <c r="J785" i="63"/>
  <c r="D196" i="63"/>
  <c r="D201" i="63" s="1"/>
  <c r="B192" i="63" s="1"/>
  <c r="J602" i="63"/>
  <c r="D10" i="63"/>
  <c r="G29" i="63"/>
  <c r="F56" i="63"/>
  <c r="G56" i="63" s="1"/>
  <c r="H56" i="63" s="1"/>
  <c r="J61" i="63"/>
  <c r="F68" i="63"/>
  <c r="G68" i="63" s="1"/>
  <c r="G764" i="63"/>
  <c r="B742" i="63" s="1"/>
  <c r="E887" i="63"/>
  <c r="N154" i="64"/>
  <c r="B149" i="64" s="1"/>
  <c r="E220" i="64"/>
  <c r="B209" i="64" s="1"/>
  <c r="AO141" i="12"/>
  <c r="AP141" i="12" s="1"/>
  <c r="AM21" i="12"/>
  <c r="AN21" i="12" s="1"/>
  <c r="AO21" i="12" s="1"/>
  <c r="F23" i="12"/>
  <c r="F27" i="12"/>
  <c r="F24" i="12"/>
  <c r="AO142" i="12"/>
  <c r="AP142" i="12" s="1"/>
  <c r="AO109" i="12"/>
  <c r="AP109" i="12" s="1"/>
  <c r="AJ22" i="12"/>
  <c r="AM22" i="12" s="1"/>
  <c r="AN22" i="12" s="1"/>
  <c r="AO22" i="12" s="1"/>
  <c r="AO110" i="12"/>
  <c r="AP110" i="12" s="1"/>
  <c r="AO84" i="12"/>
  <c r="AP84" i="12" s="1"/>
  <c r="AO134" i="12"/>
  <c r="AP134" i="12" s="1"/>
  <c r="AO93" i="12"/>
  <c r="AP93" i="12" s="1"/>
  <c r="I151" i="12"/>
  <c r="J151" i="12" s="1"/>
  <c r="I150" i="12"/>
  <c r="J150" i="12" s="1"/>
  <c r="I148" i="12"/>
  <c r="J148" i="12" s="1"/>
  <c r="I147" i="12"/>
  <c r="J147" i="12" s="1"/>
  <c r="AN23" i="12"/>
  <c r="AO23" i="12" s="1"/>
  <c r="D24" i="12"/>
  <c r="C28" i="12"/>
  <c r="D23" i="12"/>
  <c r="AO62" i="12"/>
  <c r="AP62" i="12" s="1"/>
  <c r="M68" i="12" s="1"/>
  <c r="D67" i="12" s="1"/>
  <c r="AO66" i="12"/>
  <c r="AP66" i="12" s="1"/>
  <c r="AO76" i="12"/>
  <c r="AP76" i="12" s="1"/>
  <c r="AO86" i="12"/>
  <c r="AP86" i="12" s="1"/>
  <c r="AO94" i="12"/>
  <c r="AP94" i="12" s="1"/>
  <c r="AO112" i="12"/>
  <c r="AP112" i="12" s="1"/>
  <c r="AO128" i="12"/>
  <c r="AP128" i="12" s="1"/>
  <c r="AO130" i="12"/>
  <c r="AP130" i="12" s="1"/>
  <c r="AO133" i="12"/>
  <c r="AP133" i="12" s="1"/>
  <c r="C132" i="12"/>
  <c r="H27" i="12"/>
  <c r="AO81" i="12"/>
  <c r="AP81" i="12" s="1"/>
  <c r="AO99" i="12"/>
  <c r="AP99" i="12" s="1"/>
  <c r="AO101" i="12"/>
  <c r="AP101" i="12" s="1"/>
  <c r="AO105" i="12"/>
  <c r="AP105" i="12" s="1"/>
  <c r="AO139" i="12"/>
  <c r="AP139" i="12" s="1"/>
  <c r="H26" i="12"/>
  <c r="I26" i="12" s="1"/>
  <c r="K26" i="12" s="1"/>
  <c r="AO63" i="12"/>
  <c r="AP63" i="12" s="1"/>
  <c r="AO65" i="12"/>
  <c r="AP65" i="12" s="1"/>
  <c r="AO77" i="12"/>
  <c r="AP77" i="12" s="1"/>
  <c r="AO85" i="12"/>
  <c r="AP85" i="12" s="1"/>
  <c r="AO95" i="12"/>
  <c r="AP95" i="12" s="1"/>
  <c r="AO127" i="12"/>
  <c r="AP127" i="12" s="1"/>
  <c r="M133" i="12" s="1"/>
  <c r="D132" i="12" s="1"/>
  <c r="AO129" i="12"/>
  <c r="AP129" i="12" s="1"/>
  <c r="AO132" i="12"/>
  <c r="AP132" i="12" s="1"/>
  <c r="AO136" i="12"/>
  <c r="AP136" i="12" s="1"/>
  <c r="M142" i="12" s="1"/>
  <c r="AO138" i="12"/>
  <c r="AP138" i="12" s="1"/>
  <c r="H25" i="12"/>
  <c r="I25" i="12" s="1"/>
  <c r="K25" i="12" s="1"/>
  <c r="AO78" i="12"/>
  <c r="AP78" i="12" s="1"/>
  <c r="AO98" i="12"/>
  <c r="AP98" i="12" s="1"/>
  <c r="M104" i="12" s="1"/>
  <c r="D103" i="12" s="1"/>
  <c r="AO100" i="12"/>
  <c r="AP100" i="12" s="1"/>
  <c r="AO102" i="12"/>
  <c r="AP102" i="12" s="1"/>
  <c r="AO108" i="12"/>
  <c r="AP108" i="12" s="1"/>
  <c r="I387" i="60"/>
  <c r="L387" i="60" s="1"/>
  <c r="L388" i="60" s="1"/>
  <c r="K254" i="60"/>
  <c r="I191" i="60"/>
  <c r="L191" i="60" s="1"/>
  <c r="E427" i="60"/>
  <c r="N420" i="60"/>
  <c r="B414" i="60" s="1"/>
  <c r="E414" i="60" s="1"/>
  <c r="E416" i="60" s="1"/>
  <c r="B410" i="60" s="1"/>
  <c r="L363" i="60"/>
  <c r="M363" i="60" s="1"/>
  <c r="M364" i="60"/>
  <c r="B402" i="60"/>
  <c r="L402" i="60" s="1"/>
  <c r="D390" i="60" s="1"/>
  <c r="S364" i="60"/>
  <c r="S365" i="60"/>
  <c r="M365" i="60"/>
  <c r="S363" i="60"/>
  <c r="N379" i="60"/>
  <c r="B374" i="60" s="1"/>
  <c r="I374" i="60" s="1"/>
  <c r="Q374" i="60" s="1"/>
  <c r="S374" i="60" s="1"/>
  <c r="S376" i="60" s="1"/>
  <c r="P370" i="60" s="1"/>
  <c r="F367" i="60"/>
  <c r="B359" i="60" s="1"/>
  <c r="D388" i="60"/>
  <c r="E285" i="60"/>
  <c r="L270" i="60"/>
  <c r="B259" i="60" s="1"/>
  <c r="D259" i="60" s="1"/>
  <c r="E282" i="60"/>
  <c r="B351" i="60"/>
  <c r="E284" i="60"/>
  <c r="D352" i="60"/>
  <c r="E350" i="60"/>
  <c r="S296" i="60"/>
  <c r="E286" i="60"/>
  <c r="S297" i="60"/>
  <c r="E353" i="60"/>
  <c r="M297" i="60"/>
  <c r="B271" i="60"/>
  <c r="F300" i="60"/>
  <c r="B292" i="60" s="1"/>
  <c r="D349" i="60"/>
  <c r="I322" i="60"/>
  <c r="L322" i="60" s="1"/>
  <c r="L323" i="60" s="1"/>
  <c r="N312" i="60"/>
  <c r="B307" i="60" s="1"/>
  <c r="I307" i="60" s="1"/>
  <c r="Q307" i="60" s="1"/>
  <c r="S307" i="60" s="1"/>
  <c r="S309" i="60" s="1"/>
  <c r="P303" i="60" s="1"/>
  <c r="E283" i="60"/>
  <c r="D321" i="60"/>
  <c r="D323" i="60" s="1"/>
  <c r="E307" i="60"/>
  <c r="E309" i="60" s="1"/>
  <c r="B303" i="60" s="1"/>
  <c r="S298" i="60"/>
  <c r="L296" i="60"/>
  <c r="M296" i="60" s="1"/>
  <c r="L298" i="60"/>
  <c r="M298" i="60" s="1"/>
  <c r="I256" i="60"/>
  <c r="L256" i="60" s="1"/>
  <c r="D33" i="60"/>
  <c r="D35" i="60"/>
  <c r="N50" i="60"/>
  <c r="D73" i="60" s="1"/>
  <c r="F42" i="60"/>
  <c r="F11" i="60"/>
  <c r="N49" i="60"/>
  <c r="C73" i="60" s="1"/>
  <c r="M10" i="60"/>
  <c r="F10" i="60"/>
  <c r="C33" i="60"/>
  <c r="F33" i="60" s="1"/>
  <c r="S234" i="60"/>
  <c r="L18" i="60"/>
  <c r="N18" i="60" s="1"/>
  <c r="F18" i="60"/>
  <c r="C35" i="60"/>
  <c r="F8" i="60"/>
  <c r="F9" i="60"/>
  <c r="L10" i="60"/>
  <c r="N247" i="60"/>
  <c r="B242" i="60" s="1"/>
  <c r="I242" i="60" s="1"/>
  <c r="Q242" i="60" s="1"/>
  <c r="S242" i="60" s="1"/>
  <c r="C32" i="60"/>
  <c r="F32" i="60" s="1"/>
  <c r="L165" i="64"/>
  <c r="M165" i="64" s="1"/>
  <c r="E650" i="64"/>
  <c r="B639" i="64" s="1"/>
  <c r="I188" i="64"/>
  <c r="L188" i="64" s="1"/>
  <c r="L190" i="64" s="1"/>
  <c r="N71" i="64"/>
  <c r="N73" i="64" s="1"/>
  <c r="L67" i="64" s="1"/>
  <c r="L239" i="64"/>
  <c r="L241" i="64"/>
  <c r="M241" i="64" s="1"/>
  <c r="I265" i="64"/>
  <c r="L265" i="64" s="1"/>
  <c r="M600" i="64"/>
  <c r="L110" i="64"/>
  <c r="S110" i="64" s="1"/>
  <c r="T110" i="64" s="1"/>
  <c r="L112" i="64"/>
  <c r="M112" i="64" s="1"/>
  <c r="M240" i="64"/>
  <c r="S163" i="64"/>
  <c r="M739" i="64"/>
  <c r="M741" i="64" s="1"/>
  <c r="I733" i="64" s="1"/>
  <c r="E296" i="64"/>
  <c r="B285" i="64" s="1"/>
  <c r="M120" i="64"/>
  <c r="M122" i="64" s="1"/>
  <c r="I116" i="64" s="1"/>
  <c r="S165" i="64"/>
  <c r="S241" i="64"/>
  <c r="N256" i="64"/>
  <c r="B250" i="64" s="1"/>
  <c r="I250" i="64" s="1"/>
  <c r="F806" i="64"/>
  <c r="C795" i="64" s="1"/>
  <c r="D795" i="64" s="1"/>
  <c r="D759" i="64"/>
  <c r="D762" i="64" s="1"/>
  <c r="I759" i="64"/>
  <c r="L759" i="64" s="1"/>
  <c r="L762" i="64" s="1"/>
  <c r="E149" i="64"/>
  <c r="E151" i="64" s="1"/>
  <c r="B145" i="64" s="1"/>
  <c r="I149" i="64"/>
  <c r="L149" i="64" s="1"/>
  <c r="L151" i="64" s="1"/>
  <c r="I145" i="64" s="1"/>
  <c r="F672" i="64"/>
  <c r="B664" i="64" s="1"/>
  <c r="I302" i="64"/>
  <c r="L302" i="64" s="1"/>
  <c r="L304" i="64" s="1"/>
  <c r="I298" i="64" s="1"/>
  <c r="E302" i="64"/>
  <c r="E304" i="64" s="1"/>
  <c r="B298" i="64" s="1"/>
  <c r="M668" i="64"/>
  <c r="M98" i="64"/>
  <c r="M100" i="64" s="1"/>
  <c r="I95" i="64" s="1"/>
  <c r="M738" i="64"/>
  <c r="E748" i="64"/>
  <c r="B744" i="64" s="1"/>
  <c r="M737" i="64"/>
  <c r="E822" i="64"/>
  <c r="B814" i="64" s="1"/>
  <c r="B90" i="64"/>
  <c r="F90" i="64" s="1"/>
  <c r="F92" i="64" s="1"/>
  <c r="B86" i="64" s="1"/>
  <c r="F243" i="64"/>
  <c r="B235" i="64" s="1"/>
  <c r="N9" i="64"/>
  <c r="M163" i="64"/>
  <c r="N180" i="64"/>
  <c r="B174" i="64" s="1"/>
  <c r="E174" i="64" s="1"/>
  <c r="I657" i="64"/>
  <c r="L657" i="64" s="1"/>
  <c r="I653" i="64" s="1"/>
  <c r="M669" i="64"/>
  <c r="F28" i="64"/>
  <c r="E719" i="64"/>
  <c r="B708" i="64" s="1"/>
  <c r="N22" i="64"/>
  <c r="C16" i="64" s="1"/>
  <c r="L16" i="64" s="1"/>
  <c r="N16" i="64" s="1"/>
  <c r="S239" i="64"/>
  <c r="M670" i="64"/>
  <c r="M672" i="64" s="1"/>
  <c r="I664" i="64" s="1"/>
  <c r="S164" i="64"/>
  <c r="L628" i="64"/>
  <c r="L15" i="64"/>
  <c r="N15" i="64" s="1"/>
  <c r="C35" i="64"/>
  <c r="F35" i="64" s="1"/>
  <c r="F15" i="64"/>
  <c r="M111" i="64"/>
  <c r="S111" i="64"/>
  <c r="T111" i="64" s="1"/>
  <c r="J53" i="64"/>
  <c r="E750" i="64"/>
  <c r="I679" i="64"/>
  <c r="L679" i="64" s="1"/>
  <c r="E679" i="64"/>
  <c r="F11" i="64"/>
  <c r="M239" i="64"/>
  <c r="D626" i="64"/>
  <c r="I610" i="64"/>
  <c r="L610" i="64" s="1"/>
  <c r="E610" i="64"/>
  <c r="D696" i="64"/>
  <c r="F29" i="64"/>
  <c r="I46" i="64"/>
  <c r="F46" i="64"/>
  <c r="F603" i="64"/>
  <c r="B595" i="64" s="1"/>
  <c r="I695" i="64"/>
  <c r="L695" i="64" s="1"/>
  <c r="L697" i="64" s="1"/>
  <c r="D695" i="64"/>
  <c r="I621" i="64"/>
  <c r="L621" i="64" s="1"/>
  <c r="L624" i="64" s="1"/>
  <c r="D621" i="64"/>
  <c r="D624" i="64" s="1"/>
  <c r="F741" i="64"/>
  <c r="B733" i="64" s="1"/>
  <c r="D764" i="64"/>
  <c r="D766" i="64" s="1"/>
  <c r="P47" i="64"/>
  <c r="R47" i="64" s="1"/>
  <c r="M47" i="64"/>
  <c r="P53" i="64"/>
  <c r="R53" i="64" s="1"/>
  <c r="R55" i="64" s="1"/>
  <c r="P42" i="64" s="1"/>
  <c r="I744" i="64"/>
  <c r="L750" i="64"/>
  <c r="W47" i="64"/>
  <c r="F167" i="64"/>
  <c r="B159" i="64" s="1"/>
  <c r="L164" i="64"/>
  <c r="M164" i="64" s="1"/>
  <c r="I251" i="64"/>
  <c r="Q251" i="64" s="1"/>
  <c r="S251" i="64" s="1"/>
  <c r="E251" i="64"/>
  <c r="I264" i="64"/>
  <c r="L264" i="64" s="1"/>
  <c r="D264" i="64"/>
  <c r="D266" i="64" s="1"/>
  <c r="N8" i="64"/>
  <c r="F114" i="64"/>
  <c r="B106" i="64" s="1"/>
  <c r="F130" i="64" s="1"/>
  <c r="D193" i="64"/>
  <c r="L693" i="64"/>
  <c r="E175" i="64"/>
  <c r="M601" i="64"/>
  <c r="M603" i="64" s="1"/>
  <c r="I595" i="64" s="1"/>
  <c r="I226" i="64"/>
  <c r="L226" i="64" s="1"/>
  <c r="L228" i="64" s="1"/>
  <c r="I222" i="64" s="1"/>
  <c r="E226" i="64"/>
  <c r="E228" i="64" s="1"/>
  <c r="B222" i="64" s="1"/>
  <c r="E782" i="64"/>
  <c r="T141" i="64"/>
  <c r="T142" i="64" s="1"/>
  <c r="Q137" i="64" s="1"/>
  <c r="M599" i="64"/>
  <c r="L175" i="64"/>
  <c r="L782" i="64"/>
  <c r="I778" i="64" s="1"/>
  <c r="B856" i="64"/>
  <c r="D856" i="64" s="1"/>
  <c r="B858" i="64"/>
  <c r="D858" i="64" s="1"/>
  <c r="S175" i="64"/>
  <c r="D627" i="64"/>
  <c r="D690" i="64"/>
  <c r="D693" i="64" s="1"/>
  <c r="D269" i="64"/>
  <c r="I726" i="64"/>
  <c r="L726" i="64" s="1"/>
  <c r="I722" i="64" s="1"/>
  <c r="I765" i="64"/>
  <c r="L765" i="64" s="1"/>
  <c r="L766" i="64" s="1"/>
  <c r="F47" i="64"/>
  <c r="J247" i="63"/>
  <c r="G605" i="63"/>
  <c r="I601" i="63"/>
  <c r="I605" i="63" s="1"/>
  <c r="H601" i="63"/>
  <c r="H605" i="63" s="1"/>
  <c r="I64" i="63"/>
  <c r="J244" i="63"/>
  <c r="C431" i="63"/>
  <c r="J431" i="63" s="1"/>
  <c r="G403" i="63"/>
  <c r="J427" i="63"/>
  <c r="J428" i="63" s="1"/>
  <c r="G602" i="63"/>
  <c r="J62" i="63"/>
  <c r="J245" i="63"/>
  <c r="G404" i="63"/>
  <c r="G427" i="63"/>
  <c r="D774" i="63"/>
  <c r="G241" i="63"/>
  <c r="I432" i="63"/>
  <c r="H432" i="63"/>
  <c r="G57" i="63"/>
  <c r="G62" i="63"/>
  <c r="G245" i="63"/>
  <c r="D592" i="63"/>
  <c r="G609" i="63"/>
  <c r="J241" i="63"/>
  <c r="J242" i="63" s="1"/>
  <c r="H68" i="63"/>
  <c r="I68" i="63"/>
  <c r="D231" i="63"/>
  <c r="J430" i="63"/>
  <c r="H58" i="63"/>
  <c r="I58" i="63"/>
  <c r="J67" i="63"/>
  <c r="J608" i="63"/>
  <c r="I789" i="63"/>
  <c r="H789" i="63"/>
  <c r="J793" i="63"/>
  <c r="H66" i="63"/>
  <c r="E333" i="63"/>
  <c r="B327" i="63" s="1"/>
  <c r="D389" i="63"/>
  <c r="G430" i="63"/>
  <c r="F63" i="63"/>
  <c r="G63" i="63" s="1"/>
  <c r="F67" i="63"/>
  <c r="G67" i="63" s="1"/>
  <c r="F244" i="63"/>
  <c r="G244" i="63" s="1"/>
  <c r="F783" i="63"/>
  <c r="G783" i="63" s="1"/>
  <c r="F791" i="63"/>
  <c r="G791" i="63" s="1"/>
  <c r="J56" i="63"/>
  <c r="J59" i="63" s="1"/>
  <c r="F247" i="63"/>
  <c r="G247" i="63" s="1"/>
  <c r="F608" i="63"/>
  <c r="G608" i="63" s="1"/>
  <c r="G402" i="63"/>
  <c r="G407" i="63" s="1"/>
  <c r="G405" i="63"/>
  <c r="F603" i="63"/>
  <c r="G603" i="63" s="1"/>
  <c r="F790" i="63"/>
  <c r="G790" i="63" s="1"/>
  <c r="F61" i="63"/>
  <c r="G61" i="63" s="1"/>
  <c r="F65" i="63"/>
  <c r="G65" i="63" s="1"/>
  <c r="G215" i="63"/>
  <c r="F246" i="63"/>
  <c r="G246" i="63" s="1"/>
  <c r="G579" i="63"/>
  <c r="F607" i="63"/>
  <c r="G607" i="63" s="1"/>
  <c r="F785" i="63"/>
  <c r="G785" i="63" s="1"/>
  <c r="M233" i="60"/>
  <c r="L232" i="60"/>
  <c r="M232" i="60" s="1"/>
  <c r="L234" i="60"/>
  <c r="M234" i="60" s="1"/>
  <c r="S233" i="60"/>
  <c r="S232" i="60"/>
  <c r="F236" i="60"/>
  <c r="B228" i="60" s="1"/>
  <c r="I255" i="60"/>
  <c r="L255" i="60" s="1"/>
  <c r="D255" i="60"/>
  <c r="D257" i="60" s="1"/>
  <c r="N184" i="60"/>
  <c r="B179" i="60" s="1"/>
  <c r="S168" i="60"/>
  <c r="N26" i="60"/>
  <c r="C19" i="60" s="1"/>
  <c r="L19" i="60" s="1"/>
  <c r="S169" i="60"/>
  <c r="S170" i="60"/>
  <c r="F34" i="60"/>
  <c r="I59" i="60"/>
  <c r="M59" i="60" s="1"/>
  <c r="F95" i="60"/>
  <c r="F97" i="60" s="1"/>
  <c r="B91" i="60" s="1"/>
  <c r="N48" i="60"/>
  <c r="B73" i="60" s="1"/>
  <c r="M113" i="60"/>
  <c r="M115" i="60" s="1"/>
  <c r="I110" i="60" s="1"/>
  <c r="I58" i="60"/>
  <c r="M58" i="60" s="1"/>
  <c r="F105" i="60"/>
  <c r="F107" i="60" s="1"/>
  <c r="B101" i="60" s="1"/>
  <c r="I61" i="60"/>
  <c r="N86" i="60"/>
  <c r="N88" i="60" s="1"/>
  <c r="L82" i="60" s="1"/>
  <c r="F63" i="60"/>
  <c r="B53" i="60" s="1"/>
  <c r="F143" i="60" s="1"/>
  <c r="I60" i="60"/>
  <c r="N24" i="60"/>
  <c r="C17" i="60" s="1"/>
  <c r="N11" i="60"/>
  <c r="N9" i="60"/>
  <c r="C142" i="12"/>
  <c r="F140" i="12"/>
  <c r="I140" i="12" s="1"/>
  <c r="K140" i="12" s="1"/>
  <c r="F137" i="12"/>
  <c r="D137" i="12"/>
  <c r="H137" i="12" s="1"/>
  <c r="C133" i="12"/>
  <c r="D141" i="12"/>
  <c r="D142" i="12"/>
  <c r="H130" i="12"/>
  <c r="I130" i="12" s="1"/>
  <c r="K130" i="12" s="1"/>
  <c r="F131" i="12"/>
  <c r="I131" i="12" s="1"/>
  <c r="K131" i="12" s="1"/>
  <c r="F128" i="12"/>
  <c r="F129" i="12"/>
  <c r="D138" i="12"/>
  <c r="F138" i="12"/>
  <c r="C141" i="12"/>
  <c r="D128" i="12"/>
  <c r="D129" i="12"/>
  <c r="H139" i="12"/>
  <c r="I139" i="12" s="1"/>
  <c r="K139" i="12" s="1"/>
  <c r="AO69" i="12"/>
  <c r="AP69" i="12" s="1"/>
  <c r="AO72" i="12"/>
  <c r="AP72" i="12" s="1"/>
  <c r="AO74" i="12"/>
  <c r="AP74" i="12" s="1"/>
  <c r="AO96" i="12"/>
  <c r="AP96" i="12" s="1"/>
  <c r="AO103" i="12"/>
  <c r="AP103" i="12" s="1"/>
  <c r="AO113" i="12"/>
  <c r="AP113" i="12" s="1"/>
  <c r="AO80" i="12"/>
  <c r="AP80" i="12" s="1"/>
  <c r="M86" i="12" s="1"/>
  <c r="D85" i="12" s="1"/>
  <c r="AO82" i="12"/>
  <c r="AP82" i="12" s="1"/>
  <c r="AO87" i="12"/>
  <c r="AP87" i="12" s="1"/>
  <c r="AO90" i="12"/>
  <c r="AP90" i="12" s="1"/>
  <c r="AO107" i="12"/>
  <c r="AP107" i="12" s="1"/>
  <c r="M113" i="12" s="1"/>
  <c r="D112" i="12" s="1"/>
  <c r="AO111" i="12"/>
  <c r="AP111" i="12" s="1"/>
  <c r="C76" i="12"/>
  <c r="AO89" i="12"/>
  <c r="AP89" i="12" s="1"/>
  <c r="M95" i="12" s="1"/>
  <c r="D95" i="12" s="1"/>
  <c r="AO91" i="12"/>
  <c r="AP91" i="12" s="1"/>
  <c r="AO67" i="12"/>
  <c r="AP67" i="12" s="1"/>
  <c r="AO68" i="12"/>
  <c r="AP68" i="12" s="1"/>
  <c r="AO83" i="12"/>
  <c r="AP83" i="12" s="1"/>
  <c r="AO104" i="12"/>
  <c r="AP104" i="12" s="1"/>
  <c r="F109" i="12"/>
  <c r="F111" i="12"/>
  <c r="D109" i="12"/>
  <c r="H109" i="12" s="1"/>
  <c r="D108" i="12"/>
  <c r="H108" i="12" s="1"/>
  <c r="I108" i="12" s="1"/>
  <c r="K108" i="12" s="1"/>
  <c r="C112" i="12"/>
  <c r="H111" i="12"/>
  <c r="H110" i="12"/>
  <c r="I110" i="12" s="1"/>
  <c r="K110" i="12" s="1"/>
  <c r="C113" i="12"/>
  <c r="F73" i="12"/>
  <c r="F75" i="12"/>
  <c r="F72" i="12"/>
  <c r="D72" i="12"/>
  <c r="H72" i="12" s="1"/>
  <c r="C77" i="12"/>
  <c r="F91" i="12"/>
  <c r="F93" i="12"/>
  <c r="F90" i="12"/>
  <c r="F102" i="12"/>
  <c r="F99" i="12"/>
  <c r="F82" i="12"/>
  <c r="F81" i="12"/>
  <c r="F84" i="12"/>
  <c r="H99" i="12"/>
  <c r="C103" i="12"/>
  <c r="H102" i="12"/>
  <c r="H101" i="12"/>
  <c r="I101" i="12" s="1"/>
  <c r="K101" i="12" s="1"/>
  <c r="C104" i="12"/>
  <c r="D100" i="12"/>
  <c r="H90" i="12"/>
  <c r="C94" i="12"/>
  <c r="H93" i="12"/>
  <c r="H92" i="12"/>
  <c r="I92" i="12" s="1"/>
  <c r="K92" i="12" s="1"/>
  <c r="C95" i="12"/>
  <c r="D91" i="12"/>
  <c r="H81" i="12"/>
  <c r="C85" i="12"/>
  <c r="H84" i="12"/>
  <c r="H83" i="12"/>
  <c r="I83" i="12" s="1"/>
  <c r="K83" i="12" s="1"/>
  <c r="C86" i="12"/>
  <c r="D82" i="12"/>
  <c r="H75" i="12"/>
  <c r="D76" i="12"/>
  <c r="D77" i="12"/>
  <c r="H74" i="12"/>
  <c r="I74" i="12" s="1"/>
  <c r="K74" i="12" s="1"/>
  <c r="D73" i="12"/>
  <c r="AO64" i="12"/>
  <c r="AP64" i="12" s="1"/>
  <c r="H65" i="12"/>
  <c r="I65" i="12" s="1"/>
  <c r="K65" i="12" s="1"/>
  <c r="F66" i="12"/>
  <c r="F63" i="12"/>
  <c r="F64" i="12"/>
  <c r="C67" i="12"/>
  <c r="H66" i="12"/>
  <c r="C68" i="12"/>
  <c r="D63" i="12"/>
  <c r="D64" i="12"/>
  <c r="J16" i="12"/>
  <c r="F16" i="12"/>
  <c r="D16" i="12"/>
  <c r="H16" i="12" s="1"/>
  <c r="J7" i="12"/>
  <c r="F7" i="12"/>
  <c r="D7" i="12"/>
  <c r="H7" i="12" s="1"/>
  <c r="AL14" i="12"/>
  <c r="AL13" i="12"/>
  <c r="AJ12" i="12"/>
  <c r="AM12" i="12" s="1"/>
  <c r="AI12" i="12"/>
  <c r="AL12" i="12" s="1"/>
  <c r="AL5" i="12"/>
  <c r="AL4" i="12"/>
  <c r="AD9" i="12"/>
  <c r="AD6" i="12"/>
  <c r="AC9" i="12"/>
  <c r="AC6" i="12"/>
  <c r="AB9" i="12"/>
  <c r="AB6" i="12"/>
  <c r="P18" i="12"/>
  <c r="P15" i="12"/>
  <c r="AA9" i="12"/>
  <c r="AA6" i="12"/>
  <c r="Z9" i="12"/>
  <c r="Z6" i="12"/>
  <c r="Y9" i="12"/>
  <c r="Y6" i="12"/>
  <c r="X9" i="12"/>
  <c r="X6" i="12"/>
  <c r="W9" i="12"/>
  <c r="W6" i="12"/>
  <c r="V9" i="12"/>
  <c r="V6" i="12"/>
  <c r="AF19" i="12"/>
  <c r="D18" i="12" s="1"/>
  <c r="J19" i="12"/>
  <c r="A19" i="12"/>
  <c r="O18" i="12"/>
  <c r="J18" i="12"/>
  <c r="AF17" i="12"/>
  <c r="D17" i="12" s="1"/>
  <c r="J17" i="12"/>
  <c r="O15" i="12"/>
  <c r="J15" i="12"/>
  <c r="AF14" i="12"/>
  <c r="E13" i="12" s="1"/>
  <c r="F14" i="12" s="1"/>
  <c r="J14" i="12"/>
  <c r="AF13" i="12"/>
  <c r="B13" i="12" s="1"/>
  <c r="D15" i="12" s="1"/>
  <c r="I13" i="12"/>
  <c r="H13" i="12"/>
  <c r="F13" i="12"/>
  <c r="AG12" i="12"/>
  <c r="M6" i="15"/>
  <c r="K6" i="15"/>
  <c r="J6" i="15"/>
  <c r="G6" i="15"/>
  <c r="M5" i="15"/>
  <c r="K5" i="15"/>
  <c r="J5" i="15"/>
  <c r="L5" i="15" s="1"/>
  <c r="N5" i="15" s="1"/>
  <c r="G5" i="15"/>
  <c r="J70" i="63" l="1"/>
  <c r="I27" i="12"/>
  <c r="K27" i="12" s="1"/>
  <c r="G581" i="63"/>
  <c r="G36" i="63"/>
  <c r="J611" i="63"/>
  <c r="D563" i="63"/>
  <c r="B555" i="63" s="1"/>
  <c r="I142" i="12"/>
  <c r="K142" i="12" s="1"/>
  <c r="G793" i="63"/>
  <c r="I56" i="63"/>
  <c r="H784" i="63"/>
  <c r="G431" i="63"/>
  <c r="G435" i="63" s="1"/>
  <c r="J249" i="63"/>
  <c r="H433" i="63"/>
  <c r="F49" i="64"/>
  <c r="B41" i="64" s="1"/>
  <c r="F128" i="64" s="1"/>
  <c r="F131" i="64" s="1"/>
  <c r="D13" i="63"/>
  <c r="B5" i="63" s="1"/>
  <c r="L6" i="15"/>
  <c r="N6" i="15" s="1"/>
  <c r="N7" i="15" s="1"/>
  <c r="B585" i="63"/>
  <c r="B634" i="63" s="1"/>
  <c r="F31" i="64"/>
  <c r="I132" i="12"/>
  <c r="K132" i="12" s="1"/>
  <c r="AN12" i="12"/>
  <c r="AO12" i="12" s="1"/>
  <c r="D133" i="12"/>
  <c r="I137" i="12"/>
  <c r="K137" i="12" s="1"/>
  <c r="D68" i="12"/>
  <c r="I68" i="12" s="1"/>
  <c r="K68" i="12" s="1"/>
  <c r="AP21" i="12"/>
  <c r="M27" i="12" s="1"/>
  <c r="D28" i="12" s="1"/>
  <c r="I28" i="12" s="1"/>
  <c r="K28" i="12" s="1"/>
  <c r="I102" i="12"/>
  <c r="K102" i="12" s="1"/>
  <c r="D104" i="12"/>
  <c r="I104" i="12" s="1"/>
  <c r="K104" i="12" s="1"/>
  <c r="D94" i="12"/>
  <c r="I94" i="12" s="1"/>
  <c r="K94" i="12" s="1"/>
  <c r="H23" i="12"/>
  <c r="I23" i="12" s="1"/>
  <c r="K23" i="12" s="1"/>
  <c r="I133" i="12"/>
  <c r="K133" i="12" s="1"/>
  <c r="H24" i="12"/>
  <c r="I24" i="12" s="1"/>
  <c r="K24" i="12" s="1"/>
  <c r="I99" i="12"/>
  <c r="K99" i="12" s="1"/>
  <c r="I76" i="12"/>
  <c r="K76" i="12" s="1"/>
  <c r="I75" i="12"/>
  <c r="K75" i="12" s="1"/>
  <c r="I85" i="12"/>
  <c r="K85" i="12" s="1"/>
  <c r="I414" i="60"/>
  <c r="L414" i="60" s="1"/>
  <c r="L416" i="60" s="1"/>
  <c r="I410" i="60" s="1"/>
  <c r="E351" i="60"/>
  <c r="E374" i="60"/>
  <c r="E376" i="60" s="1"/>
  <c r="B370" i="60" s="1"/>
  <c r="E349" i="60"/>
  <c r="E426" i="60"/>
  <c r="E352" i="60"/>
  <c r="S367" i="60"/>
  <c r="P359" i="60" s="1"/>
  <c r="L374" i="60"/>
  <c r="L376" i="60" s="1"/>
  <c r="I370" i="60" s="1"/>
  <c r="M367" i="60"/>
  <c r="I359" i="60" s="1"/>
  <c r="E289" i="60"/>
  <c r="B278" i="60" s="1"/>
  <c r="C68" i="60"/>
  <c r="J68" i="60" s="1"/>
  <c r="M68" i="60" s="1"/>
  <c r="S300" i="60"/>
  <c r="P292" i="60" s="1"/>
  <c r="B327" i="60" s="1"/>
  <c r="D327" i="60" s="1"/>
  <c r="L307" i="60"/>
  <c r="L309" i="60" s="1"/>
  <c r="I303" i="60" s="1"/>
  <c r="B338" i="60"/>
  <c r="L271" i="60"/>
  <c r="B260" i="60" s="1"/>
  <c r="M300" i="60"/>
  <c r="I292" i="60" s="1"/>
  <c r="E242" i="60"/>
  <c r="E244" i="60" s="1"/>
  <c r="B238" i="60" s="1"/>
  <c r="F35" i="60"/>
  <c r="F37" i="60" s="1"/>
  <c r="L257" i="60"/>
  <c r="N10" i="60"/>
  <c r="N73" i="60"/>
  <c r="C67" i="60"/>
  <c r="S236" i="60"/>
  <c r="P228" i="60" s="1"/>
  <c r="B261" i="60" s="1"/>
  <c r="D261" i="60" s="1"/>
  <c r="S244" i="60"/>
  <c r="P238" i="60" s="1"/>
  <c r="C41" i="60"/>
  <c r="F41" i="60" s="1"/>
  <c r="L17" i="60"/>
  <c r="N17" i="60" s="1"/>
  <c r="M236" i="60"/>
  <c r="I228" i="60" s="1"/>
  <c r="M110" i="64"/>
  <c r="M114" i="64" s="1"/>
  <c r="I106" i="64" s="1"/>
  <c r="I755" i="64"/>
  <c r="L266" i="64"/>
  <c r="E177" i="64"/>
  <c r="B170" i="64" s="1"/>
  <c r="I686" i="64"/>
  <c r="S167" i="64"/>
  <c r="P159" i="64" s="1"/>
  <c r="B194" i="64" s="1"/>
  <c r="D194" i="64" s="1"/>
  <c r="D195" i="64" s="1"/>
  <c r="B184" i="64" s="1"/>
  <c r="E250" i="64"/>
  <c r="E253" i="64" s="1"/>
  <c r="B246" i="64" s="1"/>
  <c r="S112" i="64"/>
  <c r="T112" i="64" s="1"/>
  <c r="T114" i="64" s="1"/>
  <c r="Q106" i="64" s="1"/>
  <c r="S243" i="64"/>
  <c r="P235" i="64" s="1"/>
  <c r="B270" i="64" s="1"/>
  <c r="D270" i="64" s="1"/>
  <c r="D271" i="64" s="1"/>
  <c r="B260" i="64" s="1"/>
  <c r="I174" i="64"/>
  <c r="Q174" i="64" s="1"/>
  <c r="S174" i="64" s="1"/>
  <c r="S177" i="64" s="1"/>
  <c r="P170" i="64" s="1"/>
  <c r="C36" i="64"/>
  <c r="F36" i="64" s="1"/>
  <c r="F38" i="64" s="1"/>
  <c r="B24" i="64" s="1"/>
  <c r="F16" i="64"/>
  <c r="F18" i="64" s="1"/>
  <c r="B4" i="64" s="1"/>
  <c r="N11" i="64"/>
  <c r="I617" i="64"/>
  <c r="M167" i="64"/>
  <c r="I159" i="64" s="1"/>
  <c r="I675" i="64"/>
  <c r="L681" i="64"/>
  <c r="E612" i="64"/>
  <c r="B606" i="64"/>
  <c r="Q250" i="64"/>
  <c r="S250" i="64" s="1"/>
  <c r="S253" i="64" s="1"/>
  <c r="P246" i="64" s="1"/>
  <c r="J270" i="64" s="1"/>
  <c r="L270" i="64" s="1"/>
  <c r="L271" i="64" s="1"/>
  <c r="I260" i="64" s="1"/>
  <c r="L250" i="64"/>
  <c r="B675" i="64"/>
  <c r="E681" i="64"/>
  <c r="B755" i="64"/>
  <c r="D628" i="64"/>
  <c r="B617" i="64" s="1"/>
  <c r="U53" i="64"/>
  <c r="W53" i="64" s="1"/>
  <c r="W55" i="64" s="1"/>
  <c r="U42" i="64" s="1"/>
  <c r="M53" i="64"/>
  <c r="M55" i="64" s="1"/>
  <c r="I42" i="64" s="1"/>
  <c r="N18" i="64"/>
  <c r="L251" i="64"/>
  <c r="M243" i="64"/>
  <c r="I235" i="64" s="1"/>
  <c r="P46" i="64"/>
  <c r="R46" i="64" s="1"/>
  <c r="R49" i="64" s="1"/>
  <c r="P41" i="64" s="1"/>
  <c r="M46" i="64"/>
  <c r="M49" i="64" s="1"/>
  <c r="I41" i="64" s="1"/>
  <c r="D697" i="64"/>
  <c r="B686" i="64" s="1"/>
  <c r="I606" i="64"/>
  <c r="L612" i="64"/>
  <c r="W46" i="64"/>
  <c r="W49" i="64" s="1"/>
  <c r="U41" i="64" s="1"/>
  <c r="I609" i="63"/>
  <c r="H609" i="63"/>
  <c r="I608" i="63"/>
  <c r="H608" i="63"/>
  <c r="I607" i="63"/>
  <c r="G611" i="63"/>
  <c r="H607" i="63"/>
  <c r="I246" i="63"/>
  <c r="H246" i="63"/>
  <c r="H57" i="63"/>
  <c r="H59" i="63" s="1"/>
  <c r="B40" i="63" s="1"/>
  <c r="B93" i="63" s="1"/>
  <c r="I57" i="63"/>
  <c r="I59" i="63" s="1"/>
  <c r="G249" i="63"/>
  <c r="I244" i="63"/>
  <c r="H244" i="63"/>
  <c r="I247" i="63"/>
  <c r="H247" i="63"/>
  <c r="I65" i="63"/>
  <c r="H65" i="63"/>
  <c r="I67" i="63"/>
  <c r="H67" i="63"/>
  <c r="H603" i="63"/>
  <c r="I603" i="63"/>
  <c r="G242" i="63"/>
  <c r="I241" i="63"/>
  <c r="I242" i="63" s="1"/>
  <c r="H241" i="63"/>
  <c r="H242" i="63" s="1"/>
  <c r="B223" i="63" s="1"/>
  <c r="B272" i="63" s="1"/>
  <c r="J435" i="63"/>
  <c r="I62" i="63"/>
  <c r="H62" i="63"/>
  <c r="H427" i="63"/>
  <c r="H428" i="63" s="1"/>
  <c r="B411" i="63" s="1"/>
  <c r="B458" i="63" s="1"/>
  <c r="G428" i="63"/>
  <c r="I427" i="63"/>
  <c r="I428" i="63" s="1"/>
  <c r="I61" i="63"/>
  <c r="G70" i="63"/>
  <c r="H61" i="63"/>
  <c r="I63" i="63"/>
  <c r="H63" i="63"/>
  <c r="G59" i="63"/>
  <c r="I430" i="63"/>
  <c r="H430" i="63"/>
  <c r="H431" i="63"/>
  <c r="B380" i="63"/>
  <c r="I785" i="63"/>
  <c r="H785" i="63"/>
  <c r="H245" i="63"/>
  <c r="I245" i="63"/>
  <c r="I791" i="63"/>
  <c r="H791" i="63"/>
  <c r="I783" i="63"/>
  <c r="I787" i="63" s="1"/>
  <c r="H783" i="63"/>
  <c r="H787" i="63" s="1"/>
  <c r="B767" i="63" s="1"/>
  <c r="B816" i="63" s="1"/>
  <c r="G787" i="63"/>
  <c r="H790" i="63"/>
  <c r="I790" i="63"/>
  <c r="H602" i="63"/>
  <c r="I602" i="63"/>
  <c r="F19" i="60"/>
  <c r="C43" i="60"/>
  <c r="F43" i="60" s="1"/>
  <c r="L242" i="60"/>
  <c r="N19" i="60"/>
  <c r="W59" i="60"/>
  <c r="S172" i="60"/>
  <c r="P164" i="60" s="1"/>
  <c r="B198" i="60" s="1"/>
  <c r="P59" i="60"/>
  <c r="R59" i="60" s="1"/>
  <c r="P58" i="60"/>
  <c r="R58" i="60" s="1"/>
  <c r="W58" i="60"/>
  <c r="F17" i="60"/>
  <c r="P61" i="60"/>
  <c r="R61" i="60" s="1"/>
  <c r="M61" i="60"/>
  <c r="W61" i="60"/>
  <c r="W60" i="60"/>
  <c r="M60" i="60"/>
  <c r="P60" i="60"/>
  <c r="R60" i="60" s="1"/>
  <c r="H128" i="12"/>
  <c r="I128" i="12" s="1"/>
  <c r="K128" i="12" s="1"/>
  <c r="H129" i="12"/>
  <c r="I129" i="12" s="1"/>
  <c r="K129" i="12" s="1"/>
  <c r="H138" i="12"/>
  <c r="I138" i="12" s="1"/>
  <c r="K138" i="12" s="1"/>
  <c r="I141" i="12"/>
  <c r="K141" i="12" s="1"/>
  <c r="I109" i="12"/>
  <c r="K109" i="12" s="1"/>
  <c r="I72" i="12"/>
  <c r="K72" i="12" s="1"/>
  <c r="D86" i="12"/>
  <c r="I86" i="12" s="1"/>
  <c r="K86" i="12" s="1"/>
  <c r="I90" i="12"/>
  <c r="K90" i="12" s="1"/>
  <c r="D113" i="12"/>
  <c r="I113" i="12" s="1"/>
  <c r="K113" i="12" s="1"/>
  <c r="I84" i="12"/>
  <c r="K84" i="12" s="1"/>
  <c r="I112" i="12"/>
  <c r="K112" i="12" s="1"/>
  <c r="I111" i="12"/>
  <c r="K111" i="12" s="1"/>
  <c r="I81" i="12"/>
  <c r="K81" i="12" s="1"/>
  <c r="I93" i="12"/>
  <c r="K93" i="12" s="1"/>
  <c r="I103" i="12"/>
  <c r="K103" i="12" s="1"/>
  <c r="I66" i="12"/>
  <c r="K66" i="12" s="1"/>
  <c r="H100" i="12"/>
  <c r="I100" i="12" s="1"/>
  <c r="K100" i="12" s="1"/>
  <c r="I95" i="12"/>
  <c r="K95" i="12" s="1"/>
  <c r="H91" i="12"/>
  <c r="I91" i="12" s="1"/>
  <c r="K91" i="12" s="1"/>
  <c r="H82" i="12"/>
  <c r="I82" i="12" s="1"/>
  <c r="K82" i="12" s="1"/>
  <c r="I77" i="12"/>
  <c r="K77" i="12" s="1"/>
  <c r="H73" i="12"/>
  <c r="I73" i="12" s="1"/>
  <c r="K73" i="12" s="1"/>
  <c r="H64" i="12"/>
  <c r="I64" i="12" s="1"/>
  <c r="K64" i="12" s="1"/>
  <c r="H63" i="12"/>
  <c r="I63" i="12" s="1"/>
  <c r="K63" i="12" s="1"/>
  <c r="I67" i="12"/>
  <c r="K67" i="12" s="1"/>
  <c r="I16" i="12"/>
  <c r="K16" i="12" s="1"/>
  <c r="I7" i="12"/>
  <c r="K7" i="12" s="1"/>
  <c r="AJ14" i="12"/>
  <c r="AM14" i="12" s="1"/>
  <c r="AN14" i="12" s="1"/>
  <c r="AO14" i="12" s="1"/>
  <c r="AJ13" i="12"/>
  <c r="AM13" i="12" s="1"/>
  <c r="AN13" i="12" s="1"/>
  <c r="AO13" i="12" s="1"/>
  <c r="H15" i="12"/>
  <c r="H17" i="12"/>
  <c r="I17" i="12" s="1"/>
  <c r="K17" i="12" s="1"/>
  <c r="H18" i="12"/>
  <c r="F18" i="12"/>
  <c r="D14" i="12"/>
  <c r="F15" i="12"/>
  <c r="C19" i="12"/>
  <c r="I793" i="63" l="1"/>
  <c r="O7" i="15"/>
  <c r="P7" i="15"/>
  <c r="H793" i="63"/>
  <c r="B796" i="63" s="1"/>
  <c r="B817" i="63" s="1"/>
  <c r="I431" i="63"/>
  <c r="I611" i="63"/>
  <c r="B124" i="64"/>
  <c r="H611" i="63"/>
  <c r="B614" i="63" s="1"/>
  <c r="B635" i="63" s="1"/>
  <c r="H435" i="63"/>
  <c r="I146" i="12"/>
  <c r="J146" i="12" s="1"/>
  <c r="I149" i="12"/>
  <c r="J149" i="12" s="1"/>
  <c r="F68" i="60"/>
  <c r="E356" i="60"/>
  <c r="B345" i="60" s="1"/>
  <c r="P68" i="60"/>
  <c r="R68" i="60" s="1"/>
  <c r="B392" i="60"/>
  <c r="D392" i="60" s="1"/>
  <c r="E430" i="60"/>
  <c r="B422" i="60" s="1"/>
  <c r="L338" i="60"/>
  <c r="B326" i="60" s="1"/>
  <c r="J326" i="60" s="1"/>
  <c r="L326" i="60" s="1"/>
  <c r="B403" i="60"/>
  <c r="L403" i="60" s="1"/>
  <c r="J392" i="60"/>
  <c r="L392" i="60" s="1"/>
  <c r="U68" i="60"/>
  <c r="W68" i="60" s="1"/>
  <c r="J327" i="60"/>
  <c r="L327" i="60" s="1"/>
  <c r="J261" i="60"/>
  <c r="L261" i="60" s="1"/>
  <c r="J260" i="60"/>
  <c r="L260" i="60" s="1"/>
  <c r="D260" i="60"/>
  <c r="D262" i="60" s="1"/>
  <c r="B250" i="60" s="1"/>
  <c r="J67" i="60"/>
  <c r="M67" i="60" s="1"/>
  <c r="M70" i="60" s="1"/>
  <c r="I54" i="60" s="1"/>
  <c r="P67" i="60"/>
  <c r="R67" i="60" s="1"/>
  <c r="R70" i="60" s="1"/>
  <c r="P54" i="60" s="1"/>
  <c r="F67" i="60"/>
  <c r="U67" i="60"/>
  <c r="W67" i="60" s="1"/>
  <c r="F45" i="60"/>
  <c r="B28" i="60" s="1"/>
  <c r="F21" i="60"/>
  <c r="L174" i="64"/>
  <c r="L177" i="64" s="1"/>
  <c r="I170" i="64" s="1"/>
  <c r="J194" i="64"/>
  <c r="L194" i="64" s="1"/>
  <c r="L195" i="64" s="1"/>
  <c r="I184" i="64" s="1"/>
  <c r="L4" i="64"/>
  <c r="L253" i="64"/>
  <c r="I246" i="64" s="1"/>
  <c r="I249" i="63"/>
  <c r="I435" i="63"/>
  <c r="H70" i="63"/>
  <c r="H249" i="63"/>
  <c r="I70" i="63"/>
  <c r="L244" i="60"/>
  <c r="I238" i="60" s="1"/>
  <c r="N21" i="60"/>
  <c r="M63" i="60"/>
  <c r="I53" i="60" s="1"/>
  <c r="W63" i="60"/>
  <c r="U53" i="60" s="1"/>
  <c r="R63" i="60"/>
  <c r="P53" i="60" s="1"/>
  <c r="I15" i="12"/>
  <c r="K15" i="12" s="1"/>
  <c r="AP12" i="12"/>
  <c r="M18" i="12" s="1"/>
  <c r="D19" i="12" s="1"/>
  <c r="I19" i="12" s="1"/>
  <c r="K19" i="12" s="1"/>
  <c r="I18" i="12"/>
  <c r="K18" i="12" s="1"/>
  <c r="H14" i="12"/>
  <c r="I14" i="12" s="1"/>
  <c r="K14" i="12" s="1"/>
  <c r="B438" i="63" l="1"/>
  <c r="B459" i="63" s="1"/>
  <c r="B73" i="63"/>
  <c r="B94" i="63" s="1"/>
  <c r="B252" i="63"/>
  <c r="B273" i="63" s="1"/>
  <c r="F70" i="60"/>
  <c r="B54" i="60" s="1"/>
  <c r="J152" i="12"/>
  <c r="I152" i="12"/>
  <c r="D326" i="60"/>
  <c r="D328" i="60" s="1"/>
  <c r="B315" i="60" s="1"/>
  <c r="W70" i="60"/>
  <c r="U54" i="60" s="1"/>
  <c r="L262" i="60"/>
  <c r="I250" i="60" s="1"/>
  <c r="J391" i="60"/>
  <c r="L391" i="60" s="1"/>
  <c r="L393" i="60" s="1"/>
  <c r="I382" i="60" s="1"/>
  <c r="D391" i="60"/>
  <c r="D393" i="60" s="1"/>
  <c r="B382" i="60" s="1"/>
  <c r="L328" i="60"/>
  <c r="I315" i="60" s="1"/>
  <c r="Q300" i="61" l="1"/>
  <c r="D294" i="61" s="1"/>
  <c r="E294" i="61" s="1"/>
  <c r="Q299" i="61"/>
  <c r="C294" i="61" s="1"/>
  <c r="F294" i="61" l="1"/>
  <c r="F296" i="61" s="1"/>
  <c r="B291" i="61" s="1"/>
  <c r="B73" i="62" l="1"/>
  <c r="H131" i="60"/>
  <c r="M131" i="60"/>
  <c r="L135" i="60" s="1"/>
  <c r="F135" i="60"/>
  <c r="J135" i="60"/>
  <c r="I135" i="60"/>
  <c r="H135" i="60"/>
  <c r="L131" i="60"/>
  <c r="B55" i="62"/>
  <c r="B71" i="62" s="1"/>
  <c r="B54" i="62"/>
  <c r="B68" i="62" s="1"/>
  <c r="M98" i="15"/>
  <c r="K98" i="15"/>
  <c r="J98" i="15"/>
  <c r="G98" i="15"/>
  <c r="M97" i="15"/>
  <c r="K97" i="15"/>
  <c r="J97" i="15"/>
  <c r="G97" i="15"/>
  <c r="M92" i="15"/>
  <c r="K92" i="15"/>
  <c r="J92" i="15"/>
  <c r="L92" i="15" s="1"/>
  <c r="N92" i="15" s="1"/>
  <c r="G92" i="15"/>
  <c r="M86" i="15"/>
  <c r="J86" i="15"/>
  <c r="L86" i="15" s="1"/>
  <c r="G86" i="15"/>
  <c r="M80" i="15"/>
  <c r="J80" i="15"/>
  <c r="L80" i="15" s="1"/>
  <c r="G80" i="15"/>
  <c r="M79" i="15"/>
  <c r="J79" i="15"/>
  <c r="L79" i="15" s="1"/>
  <c r="N79" i="15" s="1"/>
  <c r="G79" i="15"/>
  <c r="M96" i="15"/>
  <c r="K96" i="15"/>
  <c r="J96" i="15"/>
  <c r="G96" i="15"/>
  <c r="M95" i="15"/>
  <c r="K95" i="15"/>
  <c r="J95" i="15"/>
  <c r="G95" i="15"/>
  <c r="M94" i="15"/>
  <c r="K94" i="15"/>
  <c r="J94" i="15"/>
  <c r="L94" i="15" s="1"/>
  <c r="G94" i="15"/>
  <c r="M91" i="15"/>
  <c r="K91" i="15"/>
  <c r="J91" i="15"/>
  <c r="G91" i="15"/>
  <c r="M90" i="15"/>
  <c r="K90" i="15"/>
  <c r="J90" i="15"/>
  <c r="G90" i="15"/>
  <c r="M85" i="15"/>
  <c r="J85" i="15"/>
  <c r="L85" i="15" s="1"/>
  <c r="G85" i="15"/>
  <c r="M84" i="15"/>
  <c r="J84" i="15"/>
  <c r="L84" i="15" s="1"/>
  <c r="G84" i="15"/>
  <c r="M83" i="15"/>
  <c r="J83" i="15"/>
  <c r="L83" i="15" s="1"/>
  <c r="G83" i="15"/>
  <c r="M82" i="15"/>
  <c r="J82" i="15"/>
  <c r="L82" i="15" s="1"/>
  <c r="G82" i="15"/>
  <c r="M81" i="15"/>
  <c r="J81" i="15"/>
  <c r="L81" i="15" s="1"/>
  <c r="G81" i="15"/>
  <c r="M51" i="15"/>
  <c r="K51" i="15"/>
  <c r="J51" i="15"/>
  <c r="G51" i="15"/>
  <c r="M50" i="15"/>
  <c r="K50" i="15"/>
  <c r="J50" i="15"/>
  <c r="G50" i="15"/>
  <c r="M49" i="15"/>
  <c r="K49" i="15"/>
  <c r="J49" i="15"/>
  <c r="G49" i="15"/>
  <c r="M48" i="15"/>
  <c r="K48" i="15"/>
  <c r="J48" i="15"/>
  <c r="G48" i="15"/>
  <c r="M46" i="15"/>
  <c r="K46" i="15"/>
  <c r="J46" i="15"/>
  <c r="G46" i="15"/>
  <c r="M45" i="15"/>
  <c r="K45" i="15"/>
  <c r="J45" i="15"/>
  <c r="G45" i="15"/>
  <c r="M44" i="15"/>
  <c r="K44" i="15"/>
  <c r="J44" i="15"/>
  <c r="G44" i="15"/>
  <c r="M40" i="15"/>
  <c r="J40" i="15"/>
  <c r="L40" i="15" s="1"/>
  <c r="G40" i="15"/>
  <c r="K39" i="15"/>
  <c r="M39" i="15"/>
  <c r="J39" i="15"/>
  <c r="G39" i="15"/>
  <c r="M29" i="15"/>
  <c r="J29" i="15"/>
  <c r="L29" i="15" s="1"/>
  <c r="G29" i="15"/>
  <c r="M28" i="15"/>
  <c r="J28" i="15"/>
  <c r="L28" i="15" s="1"/>
  <c r="G28" i="15"/>
  <c r="M38" i="15"/>
  <c r="J38" i="15"/>
  <c r="L38" i="15" s="1"/>
  <c r="G38" i="15"/>
  <c r="M37" i="15"/>
  <c r="J37" i="15"/>
  <c r="L37" i="15" s="1"/>
  <c r="G37" i="15"/>
  <c r="M36" i="15"/>
  <c r="J36" i="15"/>
  <c r="L36" i="15" s="1"/>
  <c r="G36" i="15"/>
  <c r="M35" i="15"/>
  <c r="J35" i="15"/>
  <c r="L35" i="15" s="1"/>
  <c r="G35" i="15"/>
  <c r="M34" i="15"/>
  <c r="J34" i="15"/>
  <c r="L34" i="15" s="1"/>
  <c r="G34" i="15"/>
  <c r="M33" i="15"/>
  <c r="J33" i="15"/>
  <c r="L33" i="15" s="1"/>
  <c r="G33" i="15"/>
  <c r="M32" i="15"/>
  <c r="J32" i="15"/>
  <c r="L32" i="15" s="1"/>
  <c r="G32" i="15"/>
  <c r="M31" i="15"/>
  <c r="J31" i="15"/>
  <c r="L31" i="15" s="1"/>
  <c r="G31" i="15"/>
  <c r="M27" i="15"/>
  <c r="J27" i="15"/>
  <c r="L27" i="15" s="1"/>
  <c r="G27" i="15"/>
  <c r="D38" i="14"/>
  <c r="E37" i="14" s="1"/>
  <c r="G37" i="14" s="1"/>
  <c r="J38" i="14"/>
  <c r="E38" i="14"/>
  <c r="J37" i="14"/>
  <c r="H37" i="14"/>
  <c r="D36" i="14"/>
  <c r="D34" i="14"/>
  <c r="M236" i="61"/>
  <c r="B229" i="61" s="1"/>
  <c r="D229" i="61" s="1"/>
  <c r="A236" i="61"/>
  <c r="J21" i="14"/>
  <c r="E21" i="14"/>
  <c r="J20" i="14"/>
  <c r="H20" i="14"/>
  <c r="E20" i="14"/>
  <c r="G20" i="14" s="1"/>
  <c r="J16" i="14"/>
  <c r="E16" i="14"/>
  <c r="J15" i="14"/>
  <c r="H15" i="14"/>
  <c r="E15" i="14"/>
  <c r="G15" i="14" s="1"/>
  <c r="J11" i="14"/>
  <c r="E11" i="14"/>
  <c r="J10" i="14"/>
  <c r="H10" i="14"/>
  <c r="E10" i="14"/>
  <c r="G10" i="14" s="1"/>
  <c r="K120" i="10"/>
  <c r="K117" i="10"/>
  <c r="K116" i="10"/>
  <c r="J111" i="10"/>
  <c r="C111" i="10"/>
  <c r="J110" i="10"/>
  <c r="S109" i="10"/>
  <c r="V109" i="10" s="1"/>
  <c r="R109" i="10"/>
  <c r="U109" i="10" s="1"/>
  <c r="Q109" i="10"/>
  <c r="P109" i="10"/>
  <c r="J109" i="10"/>
  <c r="I108" i="10"/>
  <c r="G108" i="10"/>
  <c r="E108" i="10"/>
  <c r="C108" i="10"/>
  <c r="A108" i="10"/>
  <c r="J106" i="10"/>
  <c r="C106" i="10"/>
  <c r="V105" i="10"/>
  <c r="Q105" i="10"/>
  <c r="J105" i="10"/>
  <c r="S104" i="10"/>
  <c r="V104" i="10" s="1"/>
  <c r="R104" i="10"/>
  <c r="R105" i="10" s="1"/>
  <c r="U105" i="10" s="1"/>
  <c r="Q104" i="10"/>
  <c r="P104" i="10"/>
  <c r="J104" i="10"/>
  <c r="I103" i="10"/>
  <c r="G103" i="10"/>
  <c r="E103" i="10"/>
  <c r="C103" i="10"/>
  <c r="A103" i="10"/>
  <c r="J101" i="10"/>
  <c r="C101" i="10"/>
  <c r="V100" i="10"/>
  <c r="Q100" i="10"/>
  <c r="J100" i="10"/>
  <c r="S99" i="10"/>
  <c r="V99" i="10" s="1"/>
  <c r="R99" i="10"/>
  <c r="R100" i="10" s="1"/>
  <c r="U100" i="10" s="1"/>
  <c r="Q99" i="10"/>
  <c r="P99" i="10"/>
  <c r="J99" i="10"/>
  <c r="I98" i="10"/>
  <c r="G98" i="10"/>
  <c r="E98" i="10"/>
  <c r="C98" i="10"/>
  <c r="A98" i="10"/>
  <c r="J96" i="10"/>
  <c r="C96" i="10"/>
  <c r="V95" i="10"/>
  <c r="Q95" i="10"/>
  <c r="J95" i="10"/>
  <c r="S94" i="10"/>
  <c r="V94" i="10" s="1"/>
  <c r="R94" i="10"/>
  <c r="Q94" i="10"/>
  <c r="P94" i="10"/>
  <c r="J94" i="10"/>
  <c r="I93" i="10"/>
  <c r="G93" i="10"/>
  <c r="E93" i="10"/>
  <c r="C93" i="10"/>
  <c r="A93" i="10"/>
  <c r="K87" i="10"/>
  <c r="K84" i="10"/>
  <c r="K83" i="10"/>
  <c r="J79" i="10"/>
  <c r="C79" i="10"/>
  <c r="V78" i="10"/>
  <c r="Q78" i="10"/>
  <c r="J78" i="10"/>
  <c r="S77" i="10"/>
  <c r="V77" i="10" s="1"/>
  <c r="R77" i="10"/>
  <c r="R78" i="10" s="1"/>
  <c r="U78" i="10" s="1"/>
  <c r="Q77" i="10"/>
  <c r="P77" i="10"/>
  <c r="J77" i="10"/>
  <c r="I76" i="10"/>
  <c r="G76" i="10"/>
  <c r="E76" i="10"/>
  <c r="C76" i="10"/>
  <c r="A76" i="10"/>
  <c r="J74" i="10"/>
  <c r="C74" i="10"/>
  <c r="V73" i="10"/>
  <c r="Q73" i="10"/>
  <c r="J73" i="10"/>
  <c r="S72" i="10"/>
  <c r="V72" i="10" s="1"/>
  <c r="R72" i="10"/>
  <c r="R73" i="10" s="1"/>
  <c r="U73" i="10" s="1"/>
  <c r="Q72" i="10"/>
  <c r="P72" i="10"/>
  <c r="J72" i="10"/>
  <c r="I71" i="10"/>
  <c r="G71" i="10"/>
  <c r="E71" i="10"/>
  <c r="C71" i="10"/>
  <c r="A71" i="10"/>
  <c r="J69" i="10"/>
  <c r="C69" i="10"/>
  <c r="V68" i="10"/>
  <c r="Q68" i="10"/>
  <c r="J68" i="10"/>
  <c r="S67" i="10"/>
  <c r="V67" i="10" s="1"/>
  <c r="R67" i="10"/>
  <c r="R68" i="10" s="1"/>
  <c r="U68" i="10" s="1"/>
  <c r="Q67" i="10"/>
  <c r="P67" i="10"/>
  <c r="J67" i="10"/>
  <c r="I66" i="10"/>
  <c r="G66" i="10"/>
  <c r="E66" i="10"/>
  <c r="C66" i="10"/>
  <c r="A66" i="10"/>
  <c r="K60" i="10"/>
  <c r="K57" i="10"/>
  <c r="K56" i="10"/>
  <c r="J51" i="10"/>
  <c r="C51" i="10"/>
  <c r="J50" i="10"/>
  <c r="S49" i="10"/>
  <c r="V49" i="10" s="1"/>
  <c r="R49" i="10"/>
  <c r="U49" i="10" s="1"/>
  <c r="Q49" i="10"/>
  <c r="P49" i="10"/>
  <c r="J49" i="10"/>
  <c r="I48" i="10"/>
  <c r="G48" i="10"/>
  <c r="E48" i="10"/>
  <c r="C48" i="10"/>
  <c r="A48" i="10"/>
  <c r="J46" i="10"/>
  <c r="C46" i="10"/>
  <c r="V45" i="10"/>
  <c r="Q45" i="10"/>
  <c r="J45" i="10"/>
  <c r="S44" i="10"/>
  <c r="V44" i="10" s="1"/>
  <c r="R44" i="10"/>
  <c r="R45" i="10" s="1"/>
  <c r="U45" i="10" s="1"/>
  <c r="Q44" i="10"/>
  <c r="P44" i="10"/>
  <c r="J44" i="10"/>
  <c r="I43" i="10"/>
  <c r="G43" i="10"/>
  <c r="E43" i="10"/>
  <c r="C43" i="10"/>
  <c r="A43" i="10"/>
  <c r="J41" i="10"/>
  <c r="C41" i="10"/>
  <c r="V40" i="10"/>
  <c r="Q40" i="10"/>
  <c r="J40" i="10"/>
  <c r="S39" i="10"/>
  <c r="V39" i="10" s="1"/>
  <c r="R39" i="10"/>
  <c r="R40" i="10" s="1"/>
  <c r="U40" i="10" s="1"/>
  <c r="Q39" i="10"/>
  <c r="P39" i="10"/>
  <c r="J39" i="10"/>
  <c r="I38" i="10"/>
  <c r="G38" i="10"/>
  <c r="E38" i="10"/>
  <c r="C38" i="10"/>
  <c r="A38" i="10"/>
  <c r="J36" i="10"/>
  <c r="C36" i="10"/>
  <c r="V35" i="10"/>
  <c r="Q35" i="10"/>
  <c r="J35" i="10"/>
  <c r="S34" i="10"/>
  <c r="V34" i="10" s="1"/>
  <c r="R34" i="10"/>
  <c r="U34" i="10" s="1"/>
  <c r="Q34" i="10"/>
  <c r="P34" i="10"/>
  <c r="J34" i="10"/>
  <c r="I33" i="10"/>
  <c r="G33" i="10"/>
  <c r="E33" i="10"/>
  <c r="C33" i="10"/>
  <c r="A33" i="10"/>
  <c r="J19" i="10"/>
  <c r="C19" i="10"/>
  <c r="J18" i="10"/>
  <c r="J17" i="10"/>
  <c r="J14" i="10"/>
  <c r="C14" i="10"/>
  <c r="J13" i="10"/>
  <c r="J12" i="10"/>
  <c r="H105" i="10" l="1"/>
  <c r="D73" i="10"/>
  <c r="G73" i="10" s="1"/>
  <c r="D100" i="10"/>
  <c r="G100" i="10" s="1"/>
  <c r="W100" i="10"/>
  <c r="X100" i="10" s="1"/>
  <c r="M135" i="60"/>
  <c r="M137" i="60" s="1"/>
  <c r="I131" i="60" s="1"/>
  <c r="N80" i="15"/>
  <c r="N86" i="15"/>
  <c r="L98" i="15"/>
  <c r="N98" i="15" s="1"/>
  <c r="N94" i="15"/>
  <c r="L97" i="15"/>
  <c r="N97" i="15" s="1"/>
  <c r="F137" i="60"/>
  <c r="B131" i="60" s="1"/>
  <c r="L46" i="15"/>
  <c r="N46" i="15" s="1"/>
  <c r="N82" i="15"/>
  <c r="L90" i="15"/>
  <c r="N90" i="15" s="1"/>
  <c r="L95" i="15"/>
  <c r="N95" i="15" s="1"/>
  <c r="L44" i="15"/>
  <c r="N44" i="15" s="1"/>
  <c r="L48" i="15"/>
  <c r="N31" i="15"/>
  <c r="N35" i="15"/>
  <c r="L91" i="15"/>
  <c r="N91" i="15" s="1"/>
  <c r="L96" i="15"/>
  <c r="N96" i="15" s="1"/>
  <c r="N83" i="15"/>
  <c r="L50" i="15"/>
  <c r="N50" i="15" s="1"/>
  <c r="N84" i="15"/>
  <c r="L45" i="15"/>
  <c r="N45" i="15" s="1"/>
  <c r="L49" i="15"/>
  <c r="N49" i="15" s="1"/>
  <c r="N81" i="15"/>
  <c r="N85" i="15"/>
  <c r="N33" i="15"/>
  <c r="N37" i="15"/>
  <c r="N48" i="15"/>
  <c r="L39" i="15"/>
  <c r="N39" i="15" s="1"/>
  <c r="N28" i="15"/>
  <c r="L51" i="15"/>
  <c r="N51" i="15" s="1"/>
  <c r="N32" i="15"/>
  <c r="N36" i="15"/>
  <c r="N29" i="15"/>
  <c r="N40" i="15"/>
  <c r="N27" i="15"/>
  <c r="N34" i="15"/>
  <c r="N38" i="15"/>
  <c r="I37" i="14"/>
  <c r="K37" i="14"/>
  <c r="G38" i="14"/>
  <c r="H38" i="14"/>
  <c r="I20" i="14"/>
  <c r="I15" i="14"/>
  <c r="K20" i="14"/>
  <c r="G21" i="14"/>
  <c r="H21" i="14"/>
  <c r="I21" i="14" s="1"/>
  <c r="K21" i="14" s="1"/>
  <c r="K15" i="14"/>
  <c r="G16" i="14"/>
  <c r="H16" i="14"/>
  <c r="I16" i="14" s="1"/>
  <c r="K16" i="14" s="1"/>
  <c r="I10" i="14"/>
  <c r="K10" i="14"/>
  <c r="G11" i="14"/>
  <c r="H11" i="14"/>
  <c r="H104" i="10"/>
  <c r="H100" i="10"/>
  <c r="I100" i="10" s="1"/>
  <c r="K100" i="10" s="1"/>
  <c r="W109" i="10"/>
  <c r="X109" i="10" s="1"/>
  <c r="Y109" i="10" s="1"/>
  <c r="D111" i="10" s="1"/>
  <c r="G111" i="10" s="1"/>
  <c r="I111" i="10" s="1"/>
  <c r="K111" i="10" s="1"/>
  <c r="H110" i="10"/>
  <c r="H45" i="10"/>
  <c r="D105" i="10"/>
  <c r="G105" i="10" s="1"/>
  <c r="I105" i="10" s="1"/>
  <c r="K105" i="10" s="1"/>
  <c r="W105" i="10"/>
  <c r="X105" i="10" s="1"/>
  <c r="D104" i="10"/>
  <c r="G104" i="10" s="1"/>
  <c r="H95" i="10"/>
  <c r="D95" i="10"/>
  <c r="G95" i="10" s="1"/>
  <c r="I95" i="10" s="1"/>
  <c r="K95" i="10" s="1"/>
  <c r="H94" i="10"/>
  <c r="D94" i="10"/>
  <c r="G94" i="10" s="1"/>
  <c r="R95" i="10"/>
  <c r="U95" i="10" s="1"/>
  <c r="W95" i="10" s="1"/>
  <c r="X95" i="10" s="1"/>
  <c r="U94" i="10"/>
  <c r="W94" i="10" s="1"/>
  <c r="X94" i="10" s="1"/>
  <c r="Y94" i="10" s="1"/>
  <c r="D109" i="10"/>
  <c r="G109" i="10" s="1"/>
  <c r="H109" i="10"/>
  <c r="D110" i="10"/>
  <c r="G110" i="10" s="1"/>
  <c r="I110" i="10" s="1"/>
  <c r="K110" i="10" s="1"/>
  <c r="U99" i="10"/>
  <c r="W99" i="10" s="1"/>
  <c r="X99" i="10" s="1"/>
  <c r="Y99" i="10" s="1"/>
  <c r="D99" i="10"/>
  <c r="G99" i="10" s="1"/>
  <c r="U104" i="10"/>
  <c r="W104" i="10" s="1"/>
  <c r="X104" i="10" s="1"/>
  <c r="H99" i="10"/>
  <c r="H40" i="10"/>
  <c r="W40" i="10"/>
  <c r="X40" i="10" s="1"/>
  <c r="H35" i="10"/>
  <c r="H78" i="10"/>
  <c r="W73" i="10"/>
  <c r="X73" i="10" s="1"/>
  <c r="D44" i="10"/>
  <c r="G44" i="10" s="1"/>
  <c r="H77" i="10"/>
  <c r="H68" i="10"/>
  <c r="H73" i="10"/>
  <c r="I73" i="10" s="1"/>
  <c r="K73" i="10" s="1"/>
  <c r="W49" i="10"/>
  <c r="X49" i="10" s="1"/>
  <c r="Y49" i="10" s="1"/>
  <c r="D51" i="10" s="1"/>
  <c r="G51" i="10" s="1"/>
  <c r="I51" i="10" s="1"/>
  <c r="K51" i="10" s="1"/>
  <c r="W78" i="10"/>
  <c r="X78" i="10" s="1"/>
  <c r="D78" i="10"/>
  <c r="G78" i="10" s="1"/>
  <c r="W45" i="10"/>
  <c r="X45" i="10" s="1"/>
  <c r="D40" i="10"/>
  <c r="G40" i="10" s="1"/>
  <c r="W68" i="10"/>
  <c r="X68" i="10" s="1"/>
  <c r="D77" i="10"/>
  <c r="G77" i="10" s="1"/>
  <c r="U67" i="10"/>
  <c r="W67" i="10" s="1"/>
  <c r="X67" i="10" s="1"/>
  <c r="Y67" i="10" s="1"/>
  <c r="D67" i="10"/>
  <c r="G67" i="10" s="1"/>
  <c r="U72" i="10"/>
  <c r="W72" i="10" s="1"/>
  <c r="X72" i="10" s="1"/>
  <c r="D68" i="10"/>
  <c r="G68" i="10" s="1"/>
  <c r="I68" i="10" s="1"/>
  <c r="K68" i="10" s="1"/>
  <c r="D72" i="10"/>
  <c r="G72" i="10" s="1"/>
  <c r="H72" i="10"/>
  <c r="H67" i="10"/>
  <c r="U77" i="10"/>
  <c r="W77" i="10" s="1"/>
  <c r="X77" i="10" s="1"/>
  <c r="D50" i="10"/>
  <c r="G50" i="10" s="1"/>
  <c r="H44" i="10"/>
  <c r="D45" i="10"/>
  <c r="G45" i="10" s="1"/>
  <c r="W34" i="10"/>
  <c r="X34" i="10" s="1"/>
  <c r="R35" i="10"/>
  <c r="U35" i="10" s="1"/>
  <c r="W35" i="10" s="1"/>
  <c r="X35" i="10" s="1"/>
  <c r="H34" i="10"/>
  <c r="H50" i="10"/>
  <c r="U44" i="10"/>
  <c r="W44" i="10" s="1"/>
  <c r="X44" i="10" s="1"/>
  <c r="D49" i="10"/>
  <c r="G49" i="10" s="1"/>
  <c r="D34" i="10"/>
  <c r="G34" i="10" s="1"/>
  <c r="U39" i="10"/>
  <c r="W39" i="10" s="1"/>
  <c r="X39" i="10" s="1"/>
  <c r="H49" i="10"/>
  <c r="D35" i="10"/>
  <c r="G35" i="10" s="1"/>
  <c r="I35" i="10" s="1"/>
  <c r="K35" i="10" s="1"/>
  <c r="D39" i="10"/>
  <c r="G39" i="10" s="1"/>
  <c r="H39" i="10"/>
  <c r="K919" i="61"/>
  <c r="B916" i="61" s="1"/>
  <c r="A919" i="61"/>
  <c r="F911" i="61"/>
  <c r="F910" i="61"/>
  <c r="F909" i="61"/>
  <c r="F908" i="61"/>
  <c r="F907" i="61"/>
  <c r="F906" i="61"/>
  <c r="F905" i="61"/>
  <c r="F904" i="61"/>
  <c r="F903" i="61"/>
  <c r="F902" i="61"/>
  <c r="F901" i="61"/>
  <c r="F900" i="61"/>
  <c r="K894" i="61"/>
  <c r="A894" i="61"/>
  <c r="B891" i="61"/>
  <c r="E885" i="61"/>
  <c r="E884" i="61"/>
  <c r="E883" i="61"/>
  <c r="K879" i="61"/>
  <c r="C874" i="61" s="1"/>
  <c r="E874" i="61" s="1"/>
  <c r="E873" i="61"/>
  <c r="E872" i="61"/>
  <c r="K867" i="61"/>
  <c r="E861" i="61" s="1"/>
  <c r="K866" i="61"/>
  <c r="C859" i="61" s="1"/>
  <c r="E859" i="61" s="1"/>
  <c r="K854" i="61"/>
  <c r="C848" i="61" s="1"/>
  <c r="D848" i="61" s="1"/>
  <c r="D851" i="61" s="1"/>
  <c r="B846" i="61" s="1"/>
  <c r="Q844" i="61"/>
  <c r="D838" i="61" s="1"/>
  <c r="E838" i="61" s="1"/>
  <c r="Q843" i="61"/>
  <c r="C838" i="61" s="1"/>
  <c r="Q833" i="61"/>
  <c r="D827" i="61" s="1"/>
  <c r="E827" i="61" s="1"/>
  <c r="Q832" i="61"/>
  <c r="C827" i="61" s="1"/>
  <c r="Y821" i="61"/>
  <c r="B818" i="61" s="1"/>
  <c r="A821" i="61"/>
  <c r="Y813" i="61"/>
  <c r="B809" i="61" s="1"/>
  <c r="A813" i="61"/>
  <c r="Y812" i="61"/>
  <c r="B808" i="61" s="1"/>
  <c r="P805" i="61"/>
  <c r="B800" i="61" s="1"/>
  <c r="D800" i="61" s="1"/>
  <c r="D802" i="61" s="1"/>
  <c r="A805" i="61"/>
  <c r="E791" i="61"/>
  <c r="D791" i="61"/>
  <c r="B791" i="61"/>
  <c r="E790" i="61"/>
  <c r="D790" i="61"/>
  <c r="B790" i="61"/>
  <c r="E789" i="61"/>
  <c r="D789" i="61"/>
  <c r="B789" i="61"/>
  <c r="E785" i="61"/>
  <c r="D785" i="61"/>
  <c r="B785" i="61"/>
  <c r="E784" i="61"/>
  <c r="D784" i="61"/>
  <c r="B784" i="61"/>
  <c r="E783" i="61"/>
  <c r="D783" i="61"/>
  <c r="B783" i="61"/>
  <c r="M778" i="61"/>
  <c r="B772" i="61" s="1"/>
  <c r="D772" i="61" s="1"/>
  <c r="A778" i="61"/>
  <c r="M777" i="61"/>
  <c r="B771" i="61" s="1"/>
  <c r="D771" i="61" s="1"/>
  <c r="A777" i="61"/>
  <c r="P762" i="61"/>
  <c r="C791" i="61" s="1"/>
  <c r="F762" i="61"/>
  <c r="P761" i="61"/>
  <c r="C790" i="61" s="1"/>
  <c r="F761" i="61"/>
  <c r="P760" i="61"/>
  <c r="F760" i="61"/>
  <c r="P758" i="61"/>
  <c r="C785" i="61" s="1"/>
  <c r="F758" i="61"/>
  <c r="P757" i="61"/>
  <c r="F757" i="61"/>
  <c r="C784" i="61"/>
  <c r="P756" i="61"/>
  <c r="F756" i="61"/>
  <c r="P751" i="61"/>
  <c r="B746" i="61" s="1"/>
  <c r="D746" i="61" s="1"/>
  <c r="A751" i="61"/>
  <c r="F719" i="61"/>
  <c r="F720" i="61"/>
  <c r="F721" i="61"/>
  <c r="F722" i="61"/>
  <c r="F723" i="61"/>
  <c r="F724" i="61"/>
  <c r="F725" i="61"/>
  <c r="F726" i="61"/>
  <c r="F727" i="61"/>
  <c r="F728" i="61"/>
  <c r="F729" i="61"/>
  <c r="F718" i="61"/>
  <c r="Q662" i="61"/>
  <c r="D656" i="61" s="1"/>
  <c r="E656" i="61" s="1"/>
  <c r="Q661" i="61"/>
  <c r="C656" i="61" s="1"/>
  <c r="E603" i="61"/>
  <c r="D603" i="61"/>
  <c r="B603" i="61"/>
  <c r="E602" i="61"/>
  <c r="D602" i="61"/>
  <c r="B602" i="61"/>
  <c r="P575" i="61"/>
  <c r="C575" i="61" s="1"/>
  <c r="C603" i="61" s="1"/>
  <c r="F575" i="61"/>
  <c r="P574" i="61"/>
  <c r="C574" i="61" s="1"/>
  <c r="C602" i="61" s="1"/>
  <c r="F574" i="61"/>
  <c r="K737" i="61"/>
  <c r="B734" i="61" s="1"/>
  <c r="A737" i="61"/>
  <c r="K712" i="61"/>
  <c r="B709" i="61" s="1"/>
  <c r="A712" i="61"/>
  <c r="E703" i="61"/>
  <c r="E702" i="61"/>
  <c r="E701" i="61"/>
  <c r="K697" i="61"/>
  <c r="C692" i="61" s="1"/>
  <c r="E692" i="61" s="1"/>
  <c r="E691" i="61"/>
  <c r="E690" i="61"/>
  <c r="K685" i="61"/>
  <c r="E679" i="61" s="1"/>
  <c r="K684" i="61"/>
  <c r="C677" i="61" s="1"/>
  <c r="E677" i="61" s="1"/>
  <c r="K672" i="61"/>
  <c r="C666" i="61" s="1"/>
  <c r="D666" i="61" s="1"/>
  <c r="D669" i="61" s="1"/>
  <c r="B664" i="61" s="1"/>
  <c r="Q651" i="61"/>
  <c r="D645" i="61" s="1"/>
  <c r="E645" i="61" s="1"/>
  <c r="Q650" i="61"/>
  <c r="C645" i="61" s="1"/>
  <c r="Y639" i="61"/>
  <c r="B636" i="61" s="1"/>
  <c r="A639" i="61"/>
  <c r="Y631" i="61"/>
  <c r="B627" i="61" s="1"/>
  <c r="A631" i="61"/>
  <c r="Y630" i="61"/>
  <c r="B626" i="61" s="1"/>
  <c r="P623" i="61"/>
  <c r="B618" i="61" s="1"/>
  <c r="D618" i="61" s="1"/>
  <c r="D620" i="61" s="1"/>
  <c r="A623" i="61"/>
  <c r="E609" i="61"/>
  <c r="D609" i="61"/>
  <c r="B609" i="61"/>
  <c r="E608" i="61"/>
  <c r="D608" i="61"/>
  <c r="B608" i="61"/>
  <c r="E607" i="61"/>
  <c r="D607" i="61"/>
  <c r="B607" i="61"/>
  <c r="E601" i="61"/>
  <c r="D601" i="61"/>
  <c r="B601" i="61"/>
  <c r="M596" i="61"/>
  <c r="B590" i="61" s="1"/>
  <c r="D590" i="61" s="1"/>
  <c r="A596" i="61"/>
  <c r="M595" i="61"/>
  <c r="B589" i="61" s="1"/>
  <c r="D589" i="61" s="1"/>
  <c r="A595" i="61"/>
  <c r="P579" i="61"/>
  <c r="C579" i="61" s="1"/>
  <c r="C609" i="61" s="1"/>
  <c r="F579" i="61"/>
  <c r="P578" i="61"/>
  <c r="C578" i="61" s="1"/>
  <c r="C608" i="61" s="1"/>
  <c r="F578" i="61"/>
  <c r="P577" i="61"/>
  <c r="C577" i="61" s="1"/>
  <c r="F577" i="61"/>
  <c r="P573" i="61"/>
  <c r="C573" i="61" s="1"/>
  <c r="C601" i="61" s="1"/>
  <c r="F573" i="61"/>
  <c r="P568" i="61"/>
  <c r="B561" i="61" s="1"/>
  <c r="D561" i="61" s="1"/>
  <c r="A568" i="61"/>
  <c r="P567" i="61"/>
  <c r="B560" i="61" s="1"/>
  <c r="A567" i="61"/>
  <c r="P566" i="61"/>
  <c r="B559" i="61" s="1"/>
  <c r="A566" i="61"/>
  <c r="C560" i="61"/>
  <c r="C559" i="61"/>
  <c r="D550" i="61"/>
  <c r="K550" i="61" s="1"/>
  <c r="B547" i="61" s="1"/>
  <c r="A550" i="61"/>
  <c r="E542" i="61"/>
  <c r="E541" i="61"/>
  <c r="E540" i="61"/>
  <c r="E539" i="61"/>
  <c r="E538" i="61"/>
  <c r="E537" i="61"/>
  <c r="E536" i="61"/>
  <c r="E535" i="61"/>
  <c r="E534" i="61"/>
  <c r="E533" i="61"/>
  <c r="E532" i="61"/>
  <c r="E531" i="61"/>
  <c r="K525" i="61"/>
  <c r="B522" i="61" s="1"/>
  <c r="A525" i="61"/>
  <c r="E516" i="61"/>
  <c r="E515" i="61"/>
  <c r="E514" i="61"/>
  <c r="K510" i="61"/>
  <c r="C505" i="61" s="1"/>
  <c r="E505" i="61" s="1"/>
  <c r="E504" i="61"/>
  <c r="E503" i="61"/>
  <c r="K498" i="61"/>
  <c r="E492" i="61" s="1"/>
  <c r="K497" i="61"/>
  <c r="C490" i="61" s="1"/>
  <c r="E490" i="61" s="1"/>
  <c r="K485" i="61"/>
  <c r="C479" i="61" s="1"/>
  <c r="D479" i="61" s="1"/>
  <c r="D482" i="61" s="1"/>
  <c r="B477" i="61" s="1"/>
  <c r="Q475" i="61"/>
  <c r="D469" i="61" s="1"/>
  <c r="E469" i="61" s="1"/>
  <c r="Q474" i="61"/>
  <c r="C469" i="61" s="1"/>
  <c r="Y463" i="61"/>
  <c r="B460" i="61" s="1"/>
  <c r="A463" i="61"/>
  <c r="Y455" i="61"/>
  <c r="B451" i="61" s="1"/>
  <c r="A455" i="61"/>
  <c r="Y454" i="61"/>
  <c r="B450" i="61" s="1"/>
  <c r="P447" i="61"/>
  <c r="B442" i="61" s="1"/>
  <c r="D442" i="61" s="1"/>
  <c r="D444" i="61" s="1"/>
  <c r="A447" i="61"/>
  <c r="E433" i="61"/>
  <c r="D433" i="61"/>
  <c r="B433" i="61"/>
  <c r="E432" i="61"/>
  <c r="D432" i="61"/>
  <c r="B432" i="61"/>
  <c r="E431" i="61"/>
  <c r="D431" i="61"/>
  <c r="B431" i="61"/>
  <c r="E430" i="61"/>
  <c r="D430" i="61"/>
  <c r="B430" i="61"/>
  <c r="E427" i="61"/>
  <c r="D427" i="61"/>
  <c r="B427" i="61"/>
  <c r="M422" i="61"/>
  <c r="B416" i="61" s="1"/>
  <c r="D416" i="61" s="1"/>
  <c r="A422" i="61"/>
  <c r="M421" i="61"/>
  <c r="B415" i="61" s="1"/>
  <c r="D415" i="61" s="1"/>
  <c r="A421" i="61"/>
  <c r="P405" i="61"/>
  <c r="C405" i="61" s="1"/>
  <c r="F405" i="61"/>
  <c r="P404" i="61"/>
  <c r="C404" i="61" s="1"/>
  <c r="C432" i="61" s="1"/>
  <c r="F404" i="61"/>
  <c r="P403" i="61"/>
  <c r="C403" i="61" s="1"/>
  <c r="C431" i="61" s="1"/>
  <c r="F403" i="61"/>
  <c r="P402" i="61"/>
  <c r="C402" i="61" s="1"/>
  <c r="F402" i="61"/>
  <c r="P400" i="61"/>
  <c r="C400" i="61" s="1"/>
  <c r="C427" i="61" s="1"/>
  <c r="F400" i="61"/>
  <c r="P395" i="61"/>
  <c r="B387" i="61" s="1"/>
  <c r="D387" i="61" s="1"/>
  <c r="A395" i="61"/>
  <c r="P394" i="61"/>
  <c r="B386" i="61" s="1"/>
  <c r="D386" i="61" s="1"/>
  <c r="A394" i="61"/>
  <c r="P393" i="61"/>
  <c r="B385" i="61" s="1"/>
  <c r="A393" i="61"/>
  <c r="P392" i="61"/>
  <c r="B384" i="61" s="1"/>
  <c r="A392" i="61"/>
  <c r="C385" i="61"/>
  <c r="C384" i="61"/>
  <c r="D375" i="61"/>
  <c r="K375" i="61" s="1"/>
  <c r="B372" i="61" s="1"/>
  <c r="E357" i="61"/>
  <c r="E358" i="61"/>
  <c r="E359" i="61"/>
  <c r="E360" i="61"/>
  <c r="E361" i="61"/>
  <c r="E362" i="61"/>
  <c r="E363" i="61"/>
  <c r="E364" i="61"/>
  <c r="E365" i="61"/>
  <c r="E366" i="61"/>
  <c r="E367" i="61"/>
  <c r="E356" i="61"/>
  <c r="P207" i="61"/>
  <c r="B199" i="61" s="1"/>
  <c r="D199" i="61" s="1"/>
  <c r="A207" i="61"/>
  <c r="A375" i="61"/>
  <c r="K350" i="61"/>
  <c r="B347" i="61" s="1"/>
  <c r="A350" i="61"/>
  <c r="E342" i="61"/>
  <c r="E341" i="61"/>
  <c r="E340" i="61"/>
  <c r="K336" i="61"/>
  <c r="C331" i="61" s="1"/>
  <c r="E331" i="61" s="1"/>
  <c r="E330" i="61"/>
  <c r="E329" i="61"/>
  <c r="K324" i="61"/>
  <c r="E318" i="61" s="1"/>
  <c r="K323" i="61"/>
  <c r="C316" i="61" s="1"/>
  <c r="E316" i="61" s="1"/>
  <c r="K311" i="61"/>
  <c r="C305" i="61" s="1"/>
  <c r="D305" i="61" s="1"/>
  <c r="D308" i="61" s="1"/>
  <c r="B303" i="61" s="1"/>
  <c r="Q289" i="61"/>
  <c r="D283" i="61" s="1"/>
  <c r="E283" i="61" s="1"/>
  <c r="Q288" i="61"/>
  <c r="C283" i="61" s="1"/>
  <c r="Y277" i="61"/>
  <c r="B274" i="61" s="1"/>
  <c r="A277" i="61"/>
  <c r="Y269" i="61"/>
  <c r="B265" i="61" s="1"/>
  <c r="A269" i="61"/>
  <c r="Y268" i="61"/>
  <c r="B264" i="61" s="1"/>
  <c r="P261" i="61"/>
  <c r="B256" i="61" s="1"/>
  <c r="D256" i="61" s="1"/>
  <c r="D258" i="61" s="1"/>
  <c r="A261" i="61"/>
  <c r="E247" i="61"/>
  <c r="D247" i="61"/>
  <c r="B247" i="61"/>
  <c r="E246" i="61"/>
  <c r="D246" i="61"/>
  <c r="B246" i="61"/>
  <c r="E245" i="61"/>
  <c r="D245" i="61"/>
  <c r="B245" i="61"/>
  <c r="E244" i="61"/>
  <c r="D244" i="61"/>
  <c r="B244" i="61"/>
  <c r="E241" i="61"/>
  <c r="D241" i="61"/>
  <c r="B241" i="61"/>
  <c r="M235" i="61"/>
  <c r="B228" i="61" s="1"/>
  <c r="D228" i="61" s="1"/>
  <c r="A235" i="61"/>
  <c r="M234" i="61"/>
  <c r="B227" i="61" s="1"/>
  <c r="D227" i="61" s="1"/>
  <c r="A234" i="61"/>
  <c r="P217" i="61"/>
  <c r="C217" i="61" s="1"/>
  <c r="C247" i="61" s="1"/>
  <c r="F217" i="61"/>
  <c r="P216" i="61"/>
  <c r="C216" i="61" s="1"/>
  <c r="C246" i="61" s="1"/>
  <c r="F216" i="61"/>
  <c r="P215" i="61"/>
  <c r="C215" i="61" s="1"/>
  <c r="C245" i="61" s="1"/>
  <c r="F215" i="61"/>
  <c r="P214" i="61"/>
  <c r="C214" i="61" s="1"/>
  <c r="C244" i="61" s="1"/>
  <c r="F214" i="61"/>
  <c r="P212" i="61"/>
  <c r="C212" i="61" s="1"/>
  <c r="C241" i="61" s="1"/>
  <c r="F212" i="61"/>
  <c r="P206" i="61"/>
  <c r="B198" i="61" s="1"/>
  <c r="D198" i="61" s="1"/>
  <c r="A206" i="61"/>
  <c r="P205" i="61"/>
  <c r="B197" i="61" s="1"/>
  <c r="A205" i="61"/>
  <c r="P204" i="61"/>
  <c r="B196" i="61" s="1"/>
  <c r="A204" i="61"/>
  <c r="C197" i="61"/>
  <c r="C196" i="61"/>
  <c r="K145" i="61"/>
  <c r="C140" i="61" s="1"/>
  <c r="E140" i="61" s="1"/>
  <c r="E138" i="61"/>
  <c r="B62" i="61"/>
  <c r="D62" i="61"/>
  <c r="E62" i="61"/>
  <c r="B63" i="61"/>
  <c r="D63" i="61"/>
  <c r="E63" i="61"/>
  <c r="B64" i="61"/>
  <c r="D64" i="61"/>
  <c r="E64" i="61"/>
  <c r="B65" i="61"/>
  <c r="D65" i="61"/>
  <c r="E65" i="61"/>
  <c r="B66" i="61"/>
  <c r="D66" i="61"/>
  <c r="E66" i="61"/>
  <c r="B67" i="61"/>
  <c r="D67" i="61"/>
  <c r="E67" i="61"/>
  <c r="B68" i="61"/>
  <c r="D68" i="61"/>
  <c r="E68" i="61"/>
  <c r="D61" i="61"/>
  <c r="E61" i="61"/>
  <c r="B57" i="61"/>
  <c r="D57" i="61"/>
  <c r="E57" i="61"/>
  <c r="B58" i="61"/>
  <c r="D58" i="61"/>
  <c r="E58" i="61"/>
  <c r="D56" i="61"/>
  <c r="E56" i="61"/>
  <c r="B56" i="61"/>
  <c r="I51" i="61"/>
  <c r="C10" i="61"/>
  <c r="C9" i="61"/>
  <c r="P18" i="61"/>
  <c r="B11" i="61" s="1"/>
  <c r="D11" i="61" s="1"/>
  <c r="A18" i="61"/>
  <c r="I17" i="61"/>
  <c r="P17" i="61" s="1"/>
  <c r="B10" i="61" s="1"/>
  <c r="N16" i="61"/>
  <c r="I16" i="61"/>
  <c r="A17" i="61"/>
  <c r="P33" i="61"/>
  <c r="C33" i="61" s="1"/>
  <c r="C67" i="61" s="1"/>
  <c r="F33" i="61"/>
  <c r="P34" i="61"/>
  <c r="C34" i="61" s="1"/>
  <c r="C68" i="61" s="1"/>
  <c r="F34" i="61"/>
  <c r="P32" i="61"/>
  <c r="C32" i="61" s="1"/>
  <c r="C66" i="61" s="1"/>
  <c r="F32" i="61"/>
  <c r="P31" i="61"/>
  <c r="C31" i="61" s="1"/>
  <c r="F31" i="61"/>
  <c r="P30" i="61"/>
  <c r="C30" i="61" s="1"/>
  <c r="C64" i="61" s="1"/>
  <c r="F30" i="61"/>
  <c r="P29" i="61"/>
  <c r="C29" i="61" s="1"/>
  <c r="C63" i="61" s="1"/>
  <c r="F29" i="61"/>
  <c r="P28" i="61"/>
  <c r="C28" i="61" s="1"/>
  <c r="C62" i="61" s="1"/>
  <c r="F28" i="61"/>
  <c r="E221" i="60"/>
  <c r="E220" i="60"/>
  <c r="E219" i="60"/>
  <c r="E218" i="60"/>
  <c r="L212" i="60"/>
  <c r="L211" i="60"/>
  <c r="L210" i="60"/>
  <c r="L203" i="60"/>
  <c r="E127" i="60"/>
  <c r="F127" i="60" s="1"/>
  <c r="E126" i="60"/>
  <c r="F126" i="60" s="1"/>
  <c r="E125" i="60"/>
  <c r="J127" i="60"/>
  <c r="R127" i="60" s="1"/>
  <c r="I127" i="60"/>
  <c r="Q127" i="60" s="1"/>
  <c r="H127" i="60"/>
  <c r="P127" i="60" s="1"/>
  <c r="J126" i="60"/>
  <c r="R126" i="60" s="1"/>
  <c r="I126" i="60"/>
  <c r="Q126" i="60" s="1"/>
  <c r="H126" i="60"/>
  <c r="P126" i="60" s="1"/>
  <c r="AN60" i="12"/>
  <c r="AM60" i="12"/>
  <c r="AN59" i="12"/>
  <c r="AM59" i="12"/>
  <c r="AO59" i="12" s="1"/>
  <c r="AP59" i="12" s="1"/>
  <c r="J59" i="12"/>
  <c r="A59" i="12"/>
  <c r="AN58" i="12"/>
  <c r="AM58" i="12"/>
  <c r="AF58" i="12"/>
  <c r="D57" i="12" s="1"/>
  <c r="J58" i="12"/>
  <c r="A58" i="12"/>
  <c r="AN57" i="12"/>
  <c r="AM57" i="12"/>
  <c r="AE57" i="12"/>
  <c r="AD57" i="12"/>
  <c r="AC57" i="12"/>
  <c r="AB57" i="12"/>
  <c r="AA57" i="12"/>
  <c r="Z57" i="12"/>
  <c r="Y57" i="12"/>
  <c r="X57" i="12"/>
  <c r="W57" i="12"/>
  <c r="V57" i="12"/>
  <c r="U57" i="12"/>
  <c r="T57" i="12"/>
  <c r="S57" i="12"/>
  <c r="R57" i="12"/>
  <c r="Q57" i="12"/>
  <c r="P57" i="12"/>
  <c r="O57" i="12"/>
  <c r="J57" i="12"/>
  <c r="AN56" i="12"/>
  <c r="AM56" i="12"/>
  <c r="AF56" i="12"/>
  <c r="D56" i="12" s="1"/>
  <c r="J56" i="12"/>
  <c r="AN55" i="12"/>
  <c r="AM55" i="12"/>
  <c r="AE55" i="12"/>
  <c r="AD55" i="12"/>
  <c r="AC55" i="12"/>
  <c r="AB55" i="12"/>
  <c r="AA55" i="12"/>
  <c r="Z55" i="12"/>
  <c r="Y55" i="12"/>
  <c r="X55" i="12"/>
  <c r="W55" i="12"/>
  <c r="V55" i="12"/>
  <c r="U55" i="12"/>
  <c r="T55" i="12"/>
  <c r="S55" i="12"/>
  <c r="R55" i="12"/>
  <c r="Q55" i="12"/>
  <c r="P55" i="12"/>
  <c r="O55" i="12"/>
  <c r="J55" i="12"/>
  <c r="AN54" i="12"/>
  <c r="AM54" i="12"/>
  <c r="AF54" i="12"/>
  <c r="E53" i="12" s="1"/>
  <c r="J54" i="12"/>
  <c r="AN53" i="12"/>
  <c r="AM53" i="12"/>
  <c r="AO53" i="12" s="1"/>
  <c r="AP53" i="12" s="1"/>
  <c r="M59" i="12" s="1"/>
  <c r="AF53" i="12"/>
  <c r="B53" i="12" s="1"/>
  <c r="J53" i="12"/>
  <c r="I53" i="12"/>
  <c r="H53" i="12"/>
  <c r="F53" i="12"/>
  <c r="A53" i="12"/>
  <c r="O48" i="12"/>
  <c r="AD46" i="12"/>
  <c r="AE46" i="12"/>
  <c r="AD48" i="12"/>
  <c r="AE48" i="12"/>
  <c r="U9" i="12"/>
  <c r="U6" i="12"/>
  <c r="T9" i="12"/>
  <c r="T6" i="12"/>
  <c r="S9" i="12"/>
  <c r="S6" i="12"/>
  <c r="R9" i="12"/>
  <c r="R6" i="12"/>
  <c r="Q9" i="12"/>
  <c r="Q6" i="12"/>
  <c r="P6" i="12"/>
  <c r="P9" i="12"/>
  <c r="O9" i="12"/>
  <c r="O6" i="12"/>
  <c r="B53" i="62"/>
  <c r="B64" i="62" s="1"/>
  <c r="B52" i="62"/>
  <c r="B60" i="62" s="1"/>
  <c r="B51" i="62"/>
  <c r="B58" i="62" s="1"/>
  <c r="K186" i="61"/>
  <c r="B183" i="61" s="1"/>
  <c r="A186" i="61"/>
  <c r="F178" i="61"/>
  <c r="F177" i="61"/>
  <c r="F176" i="61"/>
  <c r="F175" i="61"/>
  <c r="F174" i="61"/>
  <c r="F173" i="61"/>
  <c r="F172" i="61"/>
  <c r="F171" i="61"/>
  <c r="F170" i="61"/>
  <c r="F169" i="61"/>
  <c r="F168" i="61"/>
  <c r="F167" i="61"/>
  <c r="F166" i="61"/>
  <c r="K160" i="61"/>
  <c r="B157" i="61" s="1"/>
  <c r="A160" i="61"/>
  <c r="E151" i="61"/>
  <c r="E150" i="61"/>
  <c r="E149" i="61"/>
  <c r="E139" i="61"/>
  <c r="K133" i="61"/>
  <c r="E127" i="61" s="1"/>
  <c r="K132" i="61"/>
  <c r="C125" i="61" s="1"/>
  <c r="E125" i="61" s="1"/>
  <c r="K120" i="61"/>
  <c r="C114" i="61" s="1"/>
  <c r="D114" i="61" s="1"/>
  <c r="D117" i="61" s="1"/>
  <c r="B112" i="61" s="1"/>
  <c r="Q110" i="61"/>
  <c r="D104" i="61" s="1"/>
  <c r="E104" i="61" s="1"/>
  <c r="Q109" i="61"/>
  <c r="C104" i="61" s="1"/>
  <c r="Y98" i="61"/>
  <c r="B95" i="61" s="1"/>
  <c r="A98" i="61"/>
  <c r="Y90" i="61"/>
  <c r="B86" i="61" s="1"/>
  <c r="A90" i="61"/>
  <c r="Y89" i="61"/>
  <c r="B85" i="61" s="1"/>
  <c r="P82" i="61"/>
  <c r="B77" i="61" s="1"/>
  <c r="D77" i="61" s="1"/>
  <c r="A82" i="61"/>
  <c r="B61" i="61"/>
  <c r="A51" i="61"/>
  <c r="M50" i="61"/>
  <c r="B44" i="61" s="1"/>
  <c r="D44" i="61" s="1"/>
  <c r="A50" i="61"/>
  <c r="P27" i="61"/>
  <c r="F27" i="61"/>
  <c r="P25" i="61"/>
  <c r="C25" i="61" s="1"/>
  <c r="F25" i="61"/>
  <c r="P24" i="61"/>
  <c r="C24" i="61" s="1"/>
  <c r="C57" i="61" s="1"/>
  <c r="F24" i="61"/>
  <c r="P23" i="61"/>
  <c r="C23" i="61" s="1"/>
  <c r="C56" i="61" s="1"/>
  <c r="F23" i="61"/>
  <c r="A16" i="61"/>
  <c r="AO55" i="12" l="1"/>
  <c r="AP55" i="12" s="1"/>
  <c r="I45" i="10"/>
  <c r="K45" i="10" s="1"/>
  <c r="I11" i="14"/>
  <c r="K11" i="14" s="1"/>
  <c r="I38" i="14"/>
  <c r="K38" i="14" s="1"/>
  <c r="L37" i="14" s="1"/>
  <c r="Y72" i="10"/>
  <c r="D74" i="10" s="1"/>
  <c r="G74" i="10" s="1"/>
  <c r="I74" i="10" s="1"/>
  <c r="K74" i="10" s="1"/>
  <c r="I104" i="10"/>
  <c r="K104" i="10" s="1"/>
  <c r="Y104" i="10"/>
  <c r="M106" i="10" s="1"/>
  <c r="I94" i="10"/>
  <c r="K94" i="10" s="1"/>
  <c r="M111" i="10"/>
  <c r="I193" i="60"/>
  <c r="AO57" i="12"/>
  <c r="AP57" i="12" s="1"/>
  <c r="I117" i="12"/>
  <c r="I120" i="12"/>
  <c r="I118" i="12"/>
  <c r="I121" i="12"/>
  <c r="AO58" i="12"/>
  <c r="AP58" i="12" s="1"/>
  <c r="AO60" i="12"/>
  <c r="AP60" i="12" s="1"/>
  <c r="AO54" i="12"/>
  <c r="AP54" i="12" s="1"/>
  <c r="AO56" i="12"/>
  <c r="AP56" i="12" s="1"/>
  <c r="E887" i="61"/>
  <c r="F784" i="61"/>
  <c r="G784" i="61" s="1"/>
  <c r="F656" i="61"/>
  <c r="F658" i="61" s="1"/>
  <c r="B653" i="61" s="1"/>
  <c r="L20" i="14"/>
  <c r="L15" i="14"/>
  <c r="L10" i="14"/>
  <c r="Y39" i="10"/>
  <c r="M41" i="10" s="1"/>
  <c r="I40" i="10"/>
  <c r="K40" i="10" s="1"/>
  <c r="I109" i="10"/>
  <c r="K109" i="10" s="1"/>
  <c r="D96" i="10"/>
  <c r="G96" i="10" s="1"/>
  <c r="I96" i="10" s="1"/>
  <c r="K96" i="10" s="1"/>
  <c r="M96" i="10"/>
  <c r="I99" i="10"/>
  <c r="K99" i="10" s="1"/>
  <c r="K118" i="10" s="1"/>
  <c r="D101" i="10"/>
  <c r="G101" i="10" s="1"/>
  <c r="I101" i="10" s="1"/>
  <c r="K101" i="10" s="1"/>
  <c r="M101" i="10"/>
  <c r="I78" i="10"/>
  <c r="K78" i="10" s="1"/>
  <c r="M51" i="10"/>
  <c r="I44" i="10"/>
  <c r="K44" i="10" s="1"/>
  <c r="I34" i="10"/>
  <c r="K34" i="10" s="1"/>
  <c r="Y77" i="10"/>
  <c r="D79" i="10" s="1"/>
  <c r="G79" i="10" s="1"/>
  <c r="I79" i="10" s="1"/>
  <c r="K79" i="10" s="1"/>
  <c r="Y44" i="10"/>
  <c r="M46" i="10" s="1"/>
  <c r="I77" i="10"/>
  <c r="K77" i="10" s="1"/>
  <c r="I50" i="10"/>
  <c r="K50" i="10" s="1"/>
  <c r="D69" i="10"/>
  <c r="G69" i="10" s="1"/>
  <c r="I69" i="10" s="1"/>
  <c r="K69" i="10" s="1"/>
  <c r="M69" i="10"/>
  <c r="I72" i="10"/>
  <c r="K72" i="10" s="1"/>
  <c r="K85" i="10" s="1"/>
  <c r="I67" i="10"/>
  <c r="K67" i="10" s="1"/>
  <c r="D41" i="10"/>
  <c r="G41" i="10" s="1"/>
  <c r="I41" i="10" s="1"/>
  <c r="K41" i="10" s="1"/>
  <c r="I49" i="10"/>
  <c r="K49" i="10" s="1"/>
  <c r="Y34" i="10"/>
  <c r="I39" i="10"/>
  <c r="K39" i="10" s="1"/>
  <c r="D774" i="61"/>
  <c r="J784" i="61"/>
  <c r="F791" i="61"/>
  <c r="G791" i="61" s="1"/>
  <c r="E863" i="61"/>
  <c r="B857" i="61" s="1"/>
  <c r="F827" i="61"/>
  <c r="F829" i="61" s="1"/>
  <c r="B824" i="61" s="1"/>
  <c r="J785" i="61"/>
  <c r="F785" i="61"/>
  <c r="G785" i="61" s="1"/>
  <c r="H785" i="61" s="1"/>
  <c r="F790" i="61"/>
  <c r="G790" i="61" s="1"/>
  <c r="G762" i="61"/>
  <c r="F838" i="61"/>
  <c r="F840" i="61" s="1"/>
  <c r="B835" i="61" s="1"/>
  <c r="F789" i="61"/>
  <c r="G757" i="61"/>
  <c r="E876" i="61"/>
  <c r="B870" i="61" s="1"/>
  <c r="G761" i="61"/>
  <c r="G758" i="61"/>
  <c r="C789" i="61"/>
  <c r="J789" i="61" s="1"/>
  <c r="G760" i="61"/>
  <c r="D748" i="61"/>
  <c r="J790" i="61"/>
  <c r="C783" i="61"/>
  <c r="J783" i="61" s="1"/>
  <c r="J787" i="61" s="1"/>
  <c r="G756" i="61"/>
  <c r="J791" i="61"/>
  <c r="F783" i="61"/>
  <c r="J602" i="61"/>
  <c r="F602" i="61"/>
  <c r="G602" i="61" s="1"/>
  <c r="I602" i="61" s="1"/>
  <c r="J603" i="61"/>
  <c r="F603" i="61"/>
  <c r="G603" i="61" s="1"/>
  <c r="I603" i="61" s="1"/>
  <c r="D592" i="61"/>
  <c r="G575" i="61"/>
  <c r="G574" i="61"/>
  <c r="D385" i="61"/>
  <c r="F608" i="61"/>
  <c r="G608" i="61" s="1"/>
  <c r="F430" i="61"/>
  <c r="D418" i="61"/>
  <c r="F609" i="61"/>
  <c r="G609" i="61" s="1"/>
  <c r="F432" i="61"/>
  <c r="G432" i="61" s="1"/>
  <c r="F645" i="61"/>
  <c r="F647" i="61" s="1"/>
  <c r="B642" i="61" s="1"/>
  <c r="J431" i="61"/>
  <c r="F431" i="61"/>
  <c r="G431" i="61" s="1"/>
  <c r="I431" i="61" s="1"/>
  <c r="E494" i="61"/>
  <c r="B488" i="61" s="1"/>
  <c r="J609" i="61"/>
  <c r="J601" i="61"/>
  <c r="J605" i="61" s="1"/>
  <c r="G579" i="61"/>
  <c r="F601" i="61"/>
  <c r="G601" i="61" s="1"/>
  <c r="H601" i="61" s="1"/>
  <c r="H605" i="61" s="1"/>
  <c r="E694" i="61"/>
  <c r="B688" i="61" s="1"/>
  <c r="G403" i="61"/>
  <c r="E705" i="61"/>
  <c r="J427" i="61"/>
  <c r="J428" i="61" s="1"/>
  <c r="F433" i="61"/>
  <c r="F469" i="61"/>
  <c r="F471" i="61" s="1"/>
  <c r="B466" i="61" s="1"/>
  <c r="E518" i="61"/>
  <c r="J608" i="61"/>
  <c r="E681" i="61"/>
  <c r="B675" i="61" s="1"/>
  <c r="J432" i="61"/>
  <c r="F607" i="61"/>
  <c r="F427" i="61"/>
  <c r="G427" i="61" s="1"/>
  <c r="I427" i="61" s="1"/>
  <c r="I428" i="61" s="1"/>
  <c r="G400" i="61"/>
  <c r="G404" i="61"/>
  <c r="G573" i="61"/>
  <c r="D384" i="61"/>
  <c r="G578" i="61"/>
  <c r="D559" i="61"/>
  <c r="C607" i="61"/>
  <c r="J607" i="61" s="1"/>
  <c r="G577" i="61"/>
  <c r="D560" i="61"/>
  <c r="C433" i="61"/>
  <c r="J433" i="61" s="1"/>
  <c r="G405" i="61"/>
  <c r="C430" i="61"/>
  <c r="G402" i="61"/>
  <c r="E507" i="61"/>
  <c r="B501" i="61" s="1"/>
  <c r="F68" i="61"/>
  <c r="G68" i="61" s="1"/>
  <c r="E344" i="61"/>
  <c r="G214" i="61"/>
  <c r="F283" i="61"/>
  <c r="F285" i="61" s="1"/>
  <c r="B280" i="61" s="1"/>
  <c r="D196" i="61"/>
  <c r="D197" i="61"/>
  <c r="J247" i="61"/>
  <c r="G217" i="61"/>
  <c r="D231" i="61"/>
  <c r="F57" i="61"/>
  <c r="G57" i="61" s="1"/>
  <c r="H57" i="61" s="1"/>
  <c r="F66" i="61"/>
  <c r="G66" i="61" s="1"/>
  <c r="F62" i="61"/>
  <c r="G62" i="61" s="1"/>
  <c r="H62" i="61" s="1"/>
  <c r="E320" i="61"/>
  <c r="B314" i="61" s="1"/>
  <c r="P16" i="61"/>
  <c r="B9" i="61" s="1"/>
  <c r="D9" i="61" s="1"/>
  <c r="J241" i="61"/>
  <c r="J246" i="61"/>
  <c r="F245" i="61"/>
  <c r="G245" i="61" s="1"/>
  <c r="F246" i="61"/>
  <c r="G246" i="61" s="1"/>
  <c r="H246" i="61" s="1"/>
  <c r="G216" i="61"/>
  <c r="F247" i="61"/>
  <c r="G247" i="61" s="1"/>
  <c r="H247" i="61" s="1"/>
  <c r="F244" i="61"/>
  <c r="G244" i="61" s="1"/>
  <c r="F241" i="61"/>
  <c r="G241" i="61" s="1"/>
  <c r="H241" i="61" s="1"/>
  <c r="G212" i="61"/>
  <c r="G215" i="61"/>
  <c r="J245" i="61"/>
  <c r="J244" i="61"/>
  <c r="E333" i="61"/>
  <c r="B327" i="61" s="1"/>
  <c r="F67" i="61"/>
  <c r="G67" i="61" s="1"/>
  <c r="H67" i="61" s="1"/>
  <c r="F63" i="61"/>
  <c r="G63" i="61" s="1"/>
  <c r="F56" i="61"/>
  <c r="G56" i="61" s="1"/>
  <c r="H56" i="61" s="1"/>
  <c r="F58" i="61"/>
  <c r="F61" i="61"/>
  <c r="F65" i="61"/>
  <c r="F64" i="61"/>
  <c r="G64" i="61" s="1"/>
  <c r="I64" i="61" s="1"/>
  <c r="J64" i="61"/>
  <c r="C65" i="61"/>
  <c r="J65" i="61" s="1"/>
  <c r="C58" i="61"/>
  <c r="J58" i="61" s="1"/>
  <c r="J62" i="61"/>
  <c r="J68" i="61"/>
  <c r="J63" i="61"/>
  <c r="J67" i="61"/>
  <c r="J66" i="61"/>
  <c r="D10" i="61"/>
  <c r="C27" i="61"/>
  <c r="C61" i="61" s="1"/>
  <c r="G33" i="61"/>
  <c r="G32" i="61"/>
  <c r="G31" i="61"/>
  <c r="G34" i="61"/>
  <c r="G30" i="61"/>
  <c r="G29" i="61"/>
  <c r="G28" i="61"/>
  <c r="M51" i="61"/>
  <c r="B45" i="61" s="1"/>
  <c r="D45" i="61" s="1"/>
  <c r="D47" i="61" s="1"/>
  <c r="E225" i="60"/>
  <c r="B214" i="60" s="1"/>
  <c r="F57" i="12"/>
  <c r="F54" i="12"/>
  <c r="F55" i="12"/>
  <c r="C58" i="12"/>
  <c r="H57" i="12"/>
  <c r="C59" i="12"/>
  <c r="D54" i="12"/>
  <c r="D55" i="12"/>
  <c r="H56" i="12"/>
  <c r="I56" i="12" s="1"/>
  <c r="K56" i="12" s="1"/>
  <c r="D59" i="12"/>
  <c r="D58" i="12"/>
  <c r="D79" i="61"/>
  <c r="E153" i="61"/>
  <c r="F104" i="61"/>
  <c r="F106" i="61" s="1"/>
  <c r="B101" i="61" s="1"/>
  <c r="G25" i="61"/>
  <c r="G24" i="61"/>
  <c r="G23" i="61"/>
  <c r="E129" i="61"/>
  <c r="B123" i="61" s="1"/>
  <c r="E142" i="61"/>
  <c r="B136" i="61" s="1"/>
  <c r="J56" i="61"/>
  <c r="J57" i="61"/>
  <c r="M74" i="10" l="1"/>
  <c r="D106" i="10"/>
  <c r="G106" i="10" s="1"/>
  <c r="I106" i="10" s="1"/>
  <c r="K106" i="10" s="1"/>
  <c r="K82" i="10"/>
  <c r="K115" i="10"/>
  <c r="D46" i="10"/>
  <c r="G46" i="10" s="1"/>
  <c r="I46" i="10" s="1"/>
  <c r="K46" i="10" s="1"/>
  <c r="K119" i="10"/>
  <c r="I57" i="12"/>
  <c r="K57" i="12" s="1"/>
  <c r="H603" i="61"/>
  <c r="G407" i="61"/>
  <c r="H602" i="61"/>
  <c r="G789" i="61"/>
  <c r="H789" i="61" s="1"/>
  <c r="K86" i="10"/>
  <c r="M79" i="10"/>
  <c r="K58" i="10"/>
  <c r="K59" i="10"/>
  <c r="D36" i="10"/>
  <c r="G36" i="10" s="1"/>
  <c r="I36" i="10" s="1"/>
  <c r="K36" i="10" s="1"/>
  <c r="M36" i="10"/>
  <c r="I785" i="61"/>
  <c r="G764" i="61"/>
  <c r="B742" i="61" s="1"/>
  <c r="G783" i="61"/>
  <c r="H784" i="61"/>
  <c r="I784" i="61"/>
  <c r="I791" i="61"/>
  <c r="H791" i="61"/>
  <c r="J793" i="61"/>
  <c r="I790" i="61"/>
  <c r="H790" i="61"/>
  <c r="D389" i="61"/>
  <c r="G430" i="61"/>
  <c r="H430" i="61" s="1"/>
  <c r="I608" i="61"/>
  <c r="H608" i="61"/>
  <c r="J430" i="61"/>
  <c r="J435" i="61" s="1"/>
  <c r="B585" i="61"/>
  <c r="D563" i="61"/>
  <c r="H431" i="61"/>
  <c r="G605" i="61"/>
  <c r="I601" i="61"/>
  <c r="I605" i="61" s="1"/>
  <c r="J611" i="61"/>
  <c r="G428" i="61"/>
  <c r="G581" i="61"/>
  <c r="H427" i="61"/>
  <c r="H428" i="61" s="1"/>
  <c r="B411" i="61" s="1"/>
  <c r="G607" i="61"/>
  <c r="H607" i="61" s="1"/>
  <c r="I609" i="61"/>
  <c r="H609" i="61"/>
  <c r="G433" i="61"/>
  <c r="I432" i="61"/>
  <c r="H432" i="61"/>
  <c r="D201" i="61"/>
  <c r="I246" i="61"/>
  <c r="J242" i="61"/>
  <c r="I247" i="61"/>
  <c r="I241" i="61"/>
  <c r="G219" i="61"/>
  <c r="I244" i="61"/>
  <c r="H244" i="61"/>
  <c r="G249" i="61"/>
  <c r="I245" i="61"/>
  <c r="H245" i="61"/>
  <c r="J249" i="61"/>
  <c r="G242" i="61"/>
  <c r="G58" i="61"/>
  <c r="I58" i="61" s="1"/>
  <c r="G65" i="61"/>
  <c r="I65" i="61" s="1"/>
  <c r="H64" i="61"/>
  <c r="D13" i="61"/>
  <c r="G27" i="61"/>
  <c r="G36" i="61" s="1"/>
  <c r="I67" i="61"/>
  <c r="I63" i="61"/>
  <c r="H63" i="61"/>
  <c r="I68" i="61"/>
  <c r="H68" i="61"/>
  <c r="I62" i="61"/>
  <c r="I66" i="61"/>
  <c r="H66" i="61"/>
  <c r="G61" i="61"/>
  <c r="J61" i="61"/>
  <c r="J70" i="61" s="1"/>
  <c r="H55" i="12"/>
  <c r="I55" i="12" s="1"/>
  <c r="K55" i="12" s="1"/>
  <c r="H54" i="12"/>
  <c r="I54" i="12" s="1"/>
  <c r="K54" i="12" s="1"/>
  <c r="I58" i="12"/>
  <c r="K58" i="12" s="1"/>
  <c r="I59" i="12"/>
  <c r="K59" i="12" s="1"/>
  <c r="I56" i="61"/>
  <c r="I57" i="61"/>
  <c r="J59" i="61"/>
  <c r="K121" i="10" l="1"/>
  <c r="B380" i="61"/>
  <c r="I789" i="61"/>
  <c r="I793" i="61" s="1"/>
  <c r="G793" i="61"/>
  <c r="B458" i="61"/>
  <c r="B634" i="61"/>
  <c r="I430" i="61"/>
  <c r="K88" i="10"/>
  <c r="K55" i="10"/>
  <c r="H793" i="61"/>
  <c r="I783" i="61"/>
  <c r="I787" i="61" s="1"/>
  <c r="G787" i="61"/>
  <c r="H783" i="61"/>
  <c r="H787" i="61" s="1"/>
  <c r="B767" i="61" s="1"/>
  <c r="I607" i="61"/>
  <c r="I611" i="61" s="1"/>
  <c r="B555" i="61"/>
  <c r="H611" i="61"/>
  <c r="G611" i="61"/>
  <c r="H433" i="61"/>
  <c r="H435" i="61" s="1"/>
  <c r="I433" i="61"/>
  <c r="G435" i="61"/>
  <c r="B192" i="61"/>
  <c r="H65" i="61"/>
  <c r="B5" i="61"/>
  <c r="H58" i="61"/>
  <c r="H59" i="61" s="1"/>
  <c r="B40" i="61" s="1"/>
  <c r="G70" i="61"/>
  <c r="I242" i="61"/>
  <c r="H242" i="61"/>
  <c r="B223" i="61" s="1"/>
  <c r="G59" i="61"/>
  <c r="H249" i="61"/>
  <c r="I249" i="61"/>
  <c r="I61" i="61"/>
  <c r="I70" i="61" s="1"/>
  <c r="H61" i="61"/>
  <c r="I59" i="61"/>
  <c r="I435" i="61" l="1"/>
  <c r="B438" i="61" s="1"/>
  <c r="B272" i="61"/>
  <c r="B93" i="61"/>
  <c r="B816" i="61"/>
  <c r="B796" i="61"/>
  <c r="B817" i="61" s="1"/>
  <c r="B614" i="61"/>
  <c r="H70" i="61"/>
  <c r="B73" i="61" s="1"/>
  <c r="B252" i="61"/>
  <c r="B273" i="61" l="1"/>
  <c r="B635" i="61"/>
  <c r="B94" i="61"/>
  <c r="B459" i="61"/>
  <c r="M8" i="60"/>
  <c r="L8" i="60"/>
  <c r="D857" i="60"/>
  <c r="D856" i="60"/>
  <c r="D855" i="60"/>
  <c r="D859" i="60" s="1"/>
  <c r="B851" i="60" s="1"/>
  <c r="D847" i="60"/>
  <c r="D846" i="60"/>
  <c r="D845" i="60"/>
  <c r="D849" i="60" s="1"/>
  <c r="B841" i="60" s="1"/>
  <c r="E838" i="60"/>
  <c r="B827" i="60" s="1"/>
  <c r="D827" i="60" s="1"/>
  <c r="A838" i="60"/>
  <c r="E837" i="60"/>
  <c r="A837" i="60"/>
  <c r="E836" i="60"/>
  <c r="A836" i="60"/>
  <c r="E835" i="60"/>
  <c r="B824" i="60" s="1"/>
  <c r="D824" i="60" s="1"/>
  <c r="A835" i="60"/>
  <c r="E834" i="60"/>
  <c r="B823" i="60" s="1"/>
  <c r="D823" i="60" s="1"/>
  <c r="A834" i="60"/>
  <c r="E833" i="60"/>
  <c r="B822" i="60" s="1"/>
  <c r="D822" i="60" s="1"/>
  <c r="A833" i="60"/>
  <c r="E832" i="60"/>
  <c r="A832" i="60"/>
  <c r="E831" i="60"/>
  <c r="A831" i="60"/>
  <c r="B826" i="60"/>
  <c r="D826" i="60" s="1"/>
  <c r="B821" i="60"/>
  <c r="D821" i="60" s="1"/>
  <c r="B820" i="60"/>
  <c r="D820" i="60" s="1"/>
  <c r="E798" i="60"/>
  <c r="E797" i="60"/>
  <c r="E789" i="60"/>
  <c r="E788" i="60"/>
  <c r="E787" i="60"/>
  <c r="B780" i="60"/>
  <c r="F780" i="60" s="1"/>
  <c r="C769" i="60" s="1"/>
  <c r="D769" i="60" s="1"/>
  <c r="A780" i="60"/>
  <c r="F779" i="60"/>
  <c r="C768" i="60" s="1"/>
  <c r="D768" i="60" s="1"/>
  <c r="A779" i="60"/>
  <c r="F778" i="60"/>
  <c r="C767" i="60" s="1"/>
  <c r="D767" i="60" s="1"/>
  <c r="A778" i="60"/>
  <c r="F777" i="60"/>
  <c r="C766" i="60" s="1"/>
  <c r="D766" i="60" s="1"/>
  <c r="A777" i="60"/>
  <c r="C776" i="60"/>
  <c r="B776" i="60"/>
  <c r="A776" i="60"/>
  <c r="C775" i="60"/>
  <c r="B775" i="60"/>
  <c r="A775" i="60"/>
  <c r="F774" i="60"/>
  <c r="C763" i="60" s="1"/>
  <c r="D763" i="60" s="1"/>
  <c r="A774" i="60"/>
  <c r="F773" i="60"/>
  <c r="C762" i="60" s="1"/>
  <c r="D762" i="60" s="1"/>
  <c r="A773" i="60"/>
  <c r="N755" i="60"/>
  <c r="B751" i="60" s="1"/>
  <c r="E751" i="60" s="1"/>
  <c r="J751" i="60"/>
  <c r="A751" i="60"/>
  <c r="H751" i="60" s="1"/>
  <c r="H747" i="60"/>
  <c r="B747" i="60"/>
  <c r="U744" i="60"/>
  <c r="B734" i="60" s="1"/>
  <c r="A744" i="60"/>
  <c r="U743" i="60"/>
  <c r="B733" i="60" s="1"/>
  <c r="I733" i="60" s="1"/>
  <c r="L733" i="60" s="1"/>
  <c r="A743" i="60"/>
  <c r="A742" i="60"/>
  <c r="U741" i="60"/>
  <c r="B730" i="60" s="1"/>
  <c r="D730" i="60" s="1"/>
  <c r="A741" i="60"/>
  <c r="U740" i="60"/>
  <c r="B729" i="60" s="1"/>
  <c r="D729" i="60" s="1"/>
  <c r="A740" i="60"/>
  <c r="U739" i="60"/>
  <c r="B728" i="60" s="1"/>
  <c r="D728" i="60" s="1"/>
  <c r="A739" i="60"/>
  <c r="J730" i="60"/>
  <c r="L730" i="60" s="1"/>
  <c r="J729" i="60"/>
  <c r="L729" i="60" s="1"/>
  <c r="U722" i="60"/>
  <c r="B717" i="60" s="1"/>
  <c r="I717" i="60" s="1"/>
  <c r="L717" i="60" s="1"/>
  <c r="H717" i="60"/>
  <c r="L708" i="60"/>
  <c r="J708" i="60"/>
  <c r="I708" i="60"/>
  <c r="E708" i="60"/>
  <c r="F708" i="60" s="1"/>
  <c r="L707" i="60"/>
  <c r="J707" i="60"/>
  <c r="I707" i="60"/>
  <c r="E707" i="60"/>
  <c r="F707" i="60" s="1"/>
  <c r="L706" i="60"/>
  <c r="J706" i="60"/>
  <c r="I706" i="60"/>
  <c r="E706" i="60"/>
  <c r="F706" i="60" s="1"/>
  <c r="N699" i="60"/>
  <c r="B695" i="60" s="1"/>
  <c r="E695" i="60" s="1"/>
  <c r="J695" i="60"/>
  <c r="A695" i="60"/>
  <c r="H695" i="60" s="1"/>
  <c r="H691" i="60"/>
  <c r="B691" i="60"/>
  <c r="D685" i="60"/>
  <c r="E685" i="60" s="1"/>
  <c r="E684" i="60"/>
  <c r="E683" i="60"/>
  <c r="E682" i="60"/>
  <c r="E681" i="60"/>
  <c r="U675" i="60"/>
  <c r="B665" i="60" s="1"/>
  <c r="I665" i="60" s="1"/>
  <c r="L665" i="60" s="1"/>
  <c r="A675" i="60"/>
  <c r="U674" i="60"/>
  <c r="B664" i="60" s="1"/>
  <c r="A674" i="60"/>
  <c r="A673" i="60"/>
  <c r="U672" i="60"/>
  <c r="B661" i="60" s="1"/>
  <c r="D661" i="60" s="1"/>
  <c r="A672" i="60"/>
  <c r="U671" i="60"/>
  <c r="B660" i="60" s="1"/>
  <c r="D660" i="60" s="1"/>
  <c r="A671" i="60"/>
  <c r="U670" i="60"/>
  <c r="B659" i="60" s="1"/>
  <c r="D659" i="60" s="1"/>
  <c r="A670" i="60"/>
  <c r="J661" i="60"/>
  <c r="L661" i="60" s="1"/>
  <c r="J660" i="60"/>
  <c r="L660" i="60" s="1"/>
  <c r="E653" i="60"/>
  <c r="U653" i="60" s="1"/>
  <c r="B648" i="60" s="1"/>
  <c r="J648" i="60"/>
  <c r="H648" i="60"/>
  <c r="L639" i="60"/>
  <c r="J639" i="60"/>
  <c r="I639" i="60"/>
  <c r="E639" i="60"/>
  <c r="F639" i="60" s="1"/>
  <c r="L638" i="60"/>
  <c r="J638" i="60"/>
  <c r="I638" i="60"/>
  <c r="E638" i="60"/>
  <c r="F638" i="60" s="1"/>
  <c r="L637" i="60"/>
  <c r="J637" i="60"/>
  <c r="I637" i="60"/>
  <c r="E637" i="60"/>
  <c r="F637" i="60" s="1"/>
  <c r="N630" i="60"/>
  <c r="B626" i="60" s="1"/>
  <c r="J626" i="60"/>
  <c r="A626" i="60"/>
  <c r="H626" i="60" s="1"/>
  <c r="H622" i="60"/>
  <c r="B622" i="60"/>
  <c r="D616" i="60"/>
  <c r="E616" i="60" s="1"/>
  <c r="E615" i="60"/>
  <c r="E614" i="60"/>
  <c r="E613" i="60"/>
  <c r="E612" i="60"/>
  <c r="U606" i="60"/>
  <c r="B596" i="60" s="1"/>
  <c r="I596" i="60" s="1"/>
  <c r="L596" i="60" s="1"/>
  <c r="A606" i="60"/>
  <c r="U605" i="60"/>
  <c r="B595" i="60" s="1"/>
  <c r="D595" i="60" s="1"/>
  <c r="A605" i="60"/>
  <c r="A604" i="60"/>
  <c r="U603" i="60"/>
  <c r="B592" i="60" s="1"/>
  <c r="D592" i="60" s="1"/>
  <c r="A603" i="60"/>
  <c r="U602" i="60"/>
  <c r="B591" i="60" s="1"/>
  <c r="D591" i="60" s="1"/>
  <c r="A602" i="60"/>
  <c r="U601" i="60"/>
  <c r="B590" i="60" s="1"/>
  <c r="I590" i="60" s="1"/>
  <c r="L590" i="60" s="1"/>
  <c r="A601" i="60"/>
  <c r="J592" i="60"/>
  <c r="L592" i="60" s="1"/>
  <c r="J591" i="60"/>
  <c r="L591" i="60" s="1"/>
  <c r="F584" i="60"/>
  <c r="E584" i="60"/>
  <c r="J579" i="60"/>
  <c r="H579" i="60"/>
  <c r="L570" i="60"/>
  <c r="J570" i="60"/>
  <c r="I570" i="60"/>
  <c r="E570" i="60"/>
  <c r="F570" i="60" s="1"/>
  <c r="L569" i="60"/>
  <c r="J569" i="60"/>
  <c r="I569" i="60"/>
  <c r="E569" i="60"/>
  <c r="F569" i="60" s="1"/>
  <c r="L568" i="60"/>
  <c r="J568" i="60"/>
  <c r="I568" i="60"/>
  <c r="E568" i="60"/>
  <c r="F568" i="60" s="1"/>
  <c r="A205" i="60"/>
  <c r="H192" i="60"/>
  <c r="H187" i="60"/>
  <c r="A184" i="60"/>
  <c r="J179" i="60"/>
  <c r="H179" i="60"/>
  <c r="O179" i="60" s="1"/>
  <c r="H175" i="60"/>
  <c r="O175" i="60" s="1"/>
  <c r="M164" i="60"/>
  <c r="H164" i="60"/>
  <c r="O164" i="60" s="1"/>
  <c r="S156" i="60"/>
  <c r="P156" i="60"/>
  <c r="P152" i="60"/>
  <c r="F148" i="60"/>
  <c r="F150" i="60" s="1"/>
  <c r="J125" i="60"/>
  <c r="R125" i="60" s="1"/>
  <c r="I125" i="60"/>
  <c r="Q125" i="60" s="1"/>
  <c r="H125" i="60"/>
  <c r="P125" i="60" s="1"/>
  <c r="F125" i="60"/>
  <c r="F129" i="60" s="1"/>
  <c r="B121" i="60" s="1"/>
  <c r="M121" i="60"/>
  <c r="L121" i="60"/>
  <c r="J8" i="60"/>
  <c r="I8" i="60"/>
  <c r="L170" i="60" l="1"/>
  <c r="L169" i="60"/>
  <c r="L168" i="60"/>
  <c r="N8" i="60"/>
  <c r="L127" i="60"/>
  <c r="L126" i="60"/>
  <c r="L125" i="60"/>
  <c r="M125" i="60" s="1"/>
  <c r="F145" i="60"/>
  <c r="T156" i="60"/>
  <c r="T157" i="60" s="1"/>
  <c r="Q152" i="60" s="1"/>
  <c r="E179" i="60"/>
  <c r="E181" i="60" s="1"/>
  <c r="B175" i="60" s="1"/>
  <c r="M570" i="60"/>
  <c r="M572" i="60" s="1"/>
  <c r="I564" i="60" s="1"/>
  <c r="M569" i="60"/>
  <c r="E619" i="60"/>
  <c r="B608" i="60" s="1"/>
  <c r="L593" i="60"/>
  <c r="U584" i="60"/>
  <c r="B579" i="60" s="1"/>
  <c r="E579" i="60" s="1"/>
  <c r="E791" i="60"/>
  <c r="B783" i="60" s="1"/>
  <c r="E800" i="60"/>
  <c r="B793" i="60" s="1"/>
  <c r="I626" i="60"/>
  <c r="L626" i="60" s="1"/>
  <c r="I622" i="60" s="1"/>
  <c r="E626" i="60"/>
  <c r="D662" i="60"/>
  <c r="D734" i="60"/>
  <c r="I734" i="60"/>
  <c r="L734" i="60" s="1"/>
  <c r="L735" i="60" s="1"/>
  <c r="E688" i="60"/>
  <c r="B677" i="60" s="1"/>
  <c r="M706" i="60"/>
  <c r="M568" i="60"/>
  <c r="I728" i="60"/>
  <c r="L728" i="60" s="1"/>
  <c r="L731" i="60" s="1"/>
  <c r="M637" i="60"/>
  <c r="I695" i="60"/>
  <c r="L695" i="60" s="1"/>
  <c r="I691" i="60" s="1"/>
  <c r="M639" i="60"/>
  <c r="M641" i="60" s="1"/>
  <c r="I633" i="60" s="1"/>
  <c r="M638" i="60"/>
  <c r="F775" i="60"/>
  <c r="C764" i="60" s="1"/>
  <c r="D764" i="60" s="1"/>
  <c r="M707" i="60"/>
  <c r="M708" i="60"/>
  <c r="M710" i="60" s="1"/>
  <c r="I702" i="60" s="1"/>
  <c r="F776" i="60"/>
  <c r="C765" i="60" s="1"/>
  <c r="D765" i="60" s="1"/>
  <c r="D198" i="60"/>
  <c r="F172" i="60"/>
  <c r="B164" i="60" s="1"/>
  <c r="I664" i="60"/>
  <c r="L664" i="60" s="1"/>
  <c r="L666" i="60" s="1"/>
  <c r="D664" i="60"/>
  <c r="F710" i="60"/>
  <c r="B702" i="60" s="1"/>
  <c r="I713" i="60"/>
  <c r="L719" i="60"/>
  <c r="D197" i="60"/>
  <c r="F572" i="60"/>
  <c r="B564" i="60" s="1"/>
  <c r="F641" i="60"/>
  <c r="B633" i="60" s="1"/>
  <c r="D731" i="60"/>
  <c r="I192" i="60"/>
  <c r="L192" i="60" s="1"/>
  <c r="D192" i="60"/>
  <c r="D194" i="60" s="1"/>
  <c r="I648" i="60"/>
  <c r="L648" i="60" s="1"/>
  <c r="E648" i="60"/>
  <c r="D665" i="60"/>
  <c r="I595" i="60"/>
  <c r="L595" i="60" s="1"/>
  <c r="L597" i="60" s="1"/>
  <c r="I751" i="60"/>
  <c r="L751" i="60" s="1"/>
  <c r="I747" i="60" s="1"/>
  <c r="B825" i="60"/>
  <c r="D825" i="60" s="1"/>
  <c r="F13" i="60"/>
  <c r="E717" i="60"/>
  <c r="D596" i="60"/>
  <c r="D597" i="60" s="1"/>
  <c r="F158" i="60"/>
  <c r="B152" i="60" s="1"/>
  <c r="I659" i="60"/>
  <c r="L659" i="60" s="1"/>
  <c r="L662" i="60" s="1"/>
  <c r="D733" i="60"/>
  <c r="D590" i="60"/>
  <c r="D593" i="60" s="1"/>
  <c r="D196" i="60"/>
  <c r="M168" i="60" l="1"/>
  <c r="M169" i="60"/>
  <c r="M170" i="60"/>
  <c r="B4" i="60"/>
  <c r="S125" i="60"/>
  <c r="T125" i="60" s="1"/>
  <c r="S126" i="60"/>
  <c r="T126" i="60" s="1"/>
  <c r="M126" i="60"/>
  <c r="M127" i="60"/>
  <c r="S127" i="60"/>
  <c r="T127" i="60" s="1"/>
  <c r="F144" i="60"/>
  <c r="I579" i="60"/>
  <c r="L579" i="60" s="1"/>
  <c r="L581" i="60" s="1"/>
  <c r="I179" i="60"/>
  <c r="I724" i="60"/>
  <c r="I586" i="60"/>
  <c r="D666" i="60"/>
  <c r="B655" i="60" s="1"/>
  <c r="D199" i="60"/>
  <c r="D735" i="60"/>
  <c r="B724" i="60" s="1"/>
  <c r="L650" i="60"/>
  <c r="I644" i="60"/>
  <c r="B713" i="60"/>
  <c r="E719" i="60"/>
  <c r="B575" i="60"/>
  <c r="E581" i="60"/>
  <c r="N13" i="60"/>
  <c r="L4" i="60" s="1"/>
  <c r="B586" i="60"/>
  <c r="I655" i="60"/>
  <c r="E650" i="60"/>
  <c r="B644" i="60"/>
  <c r="L179" i="60" l="1"/>
  <c r="L181" i="60" s="1"/>
  <c r="I175" i="60" s="1"/>
  <c r="Q179" i="60"/>
  <c r="S179" i="60" s="1"/>
  <c r="S181" i="60" s="1"/>
  <c r="P175" i="60" s="1"/>
  <c r="J198" i="60" s="1"/>
  <c r="L198" i="60" s="1"/>
  <c r="M172" i="60"/>
  <c r="I164" i="60" s="1"/>
  <c r="M129" i="60"/>
  <c r="I121" i="60" s="1"/>
  <c r="F146" i="60"/>
  <c r="T129" i="60"/>
  <c r="Q121" i="60" s="1"/>
  <c r="I575" i="60"/>
  <c r="B139" i="60" l="1"/>
  <c r="M89" i="15" l="1"/>
  <c r="K89" i="15"/>
  <c r="J89" i="15"/>
  <c r="G89" i="15"/>
  <c r="M77" i="15"/>
  <c r="J77" i="15"/>
  <c r="G77" i="15"/>
  <c r="M76" i="15"/>
  <c r="J76" i="15"/>
  <c r="L76" i="15" s="1"/>
  <c r="G76" i="15"/>
  <c r="M75" i="15"/>
  <c r="J75" i="15"/>
  <c r="L75" i="15" s="1"/>
  <c r="G75" i="15"/>
  <c r="M72" i="15"/>
  <c r="K72" i="15"/>
  <c r="J72" i="15"/>
  <c r="G72" i="15"/>
  <c r="M71" i="15"/>
  <c r="K71" i="15"/>
  <c r="J71" i="15"/>
  <c r="G71" i="15"/>
  <c r="M70" i="15"/>
  <c r="K70" i="15"/>
  <c r="J70" i="15"/>
  <c r="G70" i="15"/>
  <c r="M69" i="15"/>
  <c r="K69" i="15"/>
  <c r="J69" i="15"/>
  <c r="G69" i="15"/>
  <c r="J36" i="14"/>
  <c r="E36" i="14"/>
  <c r="E35" i="14"/>
  <c r="G35" i="14" s="1"/>
  <c r="J35" i="14"/>
  <c r="H35" i="14"/>
  <c r="J34" i="14"/>
  <c r="E34" i="14"/>
  <c r="E33" i="14"/>
  <c r="G33" i="14" s="1"/>
  <c r="J33" i="14"/>
  <c r="H33" i="14"/>
  <c r="K27" i="10"/>
  <c r="K23" i="10"/>
  <c r="V18" i="10"/>
  <c r="Q18" i="10"/>
  <c r="S17" i="10"/>
  <c r="V17" i="10" s="1"/>
  <c r="R17" i="10"/>
  <c r="R18" i="10" s="1"/>
  <c r="U18" i="10" s="1"/>
  <c r="Q17" i="10"/>
  <c r="P17" i="10"/>
  <c r="I16" i="10"/>
  <c r="G16" i="10"/>
  <c r="E16" i="10"/>
  <c r="C16" i="10"/>
  <c r="A16" i="10"/>
  <c r="V13" i="10"/>
  <c r="Q13" i="10"/>
  <c r="S12" i="10"/>
  <c r="V12" i="10" s="1"/>
  <c r="R12" i="10"/>
  <c r="R13" i="10" s="1"/>
  <c r="U13" i="10" s="1"/>
  <c r="Q12" i="10"/>
  <c r="P12" i="10"/>
  <c r="G11" i="10"/>
  <c r="E11" i="10"/>
  <c r="C11" i="10"/>
  <c r="A11" i="10"/>
  <c r="J9" i="10"/>
  <c r="V8" i="10"/>
  <c r="Q8" i="10"/>
  <c r="J8" i="10"/>
  <c r="S7" i="10"/>
  <c r="V7" i="10" s="1"/>
  <c r="R7" i="10"/>
  <c r="U7" i="10" s="1"/>
  <c r="Q7" i="10"/>
  <c r="P7" i="10"/>
  <c r="J7" i="10"/>
  <c r="G6" i="10"/>
  <c r="E6" i="10"/>
  <c r="C6" i="10"/>
  <c r="A6" i="10"/>
  <c r="AN51" i="12"/>
  <c r="AM51" i="12"/>
  <c r="AN50" i="12"/>
  <c r="AM50" i="12"/>
  <c r="J50" i="12"/>
  <c r="A50" i="12"/>
  <c r="AN49" i="12"/>
  <c r="AM49" i="12"/>
  <c r="AF49" i="12"/>
  <c r="D48" i="12" s="1"/>
  <c r="J49" i="12"/>
  <c r="A49" i="12"/>
  <c r="AN48" i="12"/>
  <c r="AM48" i="12"/>
  <c r="J48" i="12"/>
  <c r="AN47" i="12"/>
  <c r="AM47" i="12"/>
  <c r="AF47" i="12"/>
  <c r="D47" i="12" s="1"/>
  <c r="J47" i="12"/>
  <c r="AN46" i="12"/>
  <c r="AM46" i="12"/>
  <c r="J46" i="12"/>
  <c r="AN45" i="12"/>
  <c r="AM45" i="12"/>
  <c r="AF45" i="12"/>
  <c r="E44" i="12" s="1"/>
  <c r="J45" i="12"/>
  <c r="AN44" i="12"/>
  <c r="AM44" i="12"/>
  <c r="J44" i="12"/>
  <c r="I44" i="12"/>
  <c r="H44" i="12"/>
  <c r="F44" i="12"/>
  <c r="A44" i="12"/>
  <c r="D18" i="10" l="1"/>
  <c r="G18" i="10" s="1"/>
  <c r="D17" i="10"/>
  <c r="G17" i="10" s="1"/>
  <c r="H17" i="10"/>
  <c r="H18" i="10"/>
  <c r="H12" i="10"/>
  <c r="H13" i="10"/>
  <c r="D13" i="10"/>
  <c r="G13" i="10" s="1"/>
  <c r="D12" i="10"/>
  <c r="G12" i="10" s="1"/>
  <c r="AO44" i="12"/>
  <c r="AP44" i="12" s="1"/>
  <c r="M50" i="12" s="1"/>
  <c r="L70" i="15"/>
  <c r="N70" i="15" s="1"/>
  <c r="N76" i="15"/>
  <c r="L89" i="15"/>
  <c r="N89" i="15" s="1"/>
  <c r="L69" i="15"/>
  <c r="N69" i="15" s="1"/>
  <c r="L71" i="15"/>
  <c r="N71" i="15" s="1"/>
  <c r="N75" i="15"/>
  <c r="L77" i="15"/>
  <c r="N77" i="15" s="1"/>
  <c r="L72" i="15"/>
  <c r="N72" i="15" s="1"/>
  <c r="I35" i="14"/>
  <c r="K35" i="14" s="1"/>
  <c r="G36" i="14"/>
  <c r="H36" i="14"/>
  <c r="I33" i="14"/>
  <c r="K33" i="14" s="1"/>
  <c r="G34" i="14"/>
  <c r="H34" i="14"/>
  <c r="I34" i="14" s="1"/>
  <c r="K34" i="14" s="1"/>
  <c r="H7" i="10"/>
  <c r="U12" i="10"/>
  <c r="W12" i="10" s="1"/>
  <c r="X12" i="10" s="1"/>
  <c r="R8" i="10"/>
  <c r="U8" i="10" s="1"/>
  <c r="W8" i="10" s="1"/>
  <c r="X8" i="10" s="1"/>
  <c r="W13" i="10"/>
  <c r="X13" i="10" s="1"/>
  <c r="W18" i="10"/>
  <c r="X18" i="10" s="1"/>
  <c r="W7" i="10"/>
  <c r="X7" i="10" s="1"/>
  <c r="D8" i="10"/>
  <c r="G8" i="10" s="1"/>
  <c r="D7" i="10"/>
  <c r="G7" i="10" s="1"/>
  <c r="U17" i="10"/>
  <c r="W17" i="10" s="1"/>
  <c r="X17" i="10" s="1"/>
  <c r="H8" i="10"/>
  <c r="AO50" i="12"/>
  <c r="AP50" i="12" s="1"/>
  <c r="AF44" i="12"/>
  <c r="B44" i="12" s="1"/>
  <c r="C50" i="12" s="1"/>
  <c r="AO47" i="12"/>
  <c r="AP47" i="12" s="1"/>
  <c r="AO51" i="12"/>
  <c r="AP51" i="12" s="1"/>
  <c r="AO49" i="12"/>
  <c r="AP49" i="12" s="1"/>
  <c r="AO46" i="12"/>
  <c r="AP46" i="12" s="1"/>
  <c r="F45" i="12"/>
  <c r="F46" i="12"/>
  <c r="C49" i="12"/>
  <c r="H48" i="12"/>
  <c r="AO48" i="12"/>
  <c r="AP48" i="12" s="1"/>
  <c r="AO45" i="12"/>
  <c r="AP45" i="12" s="1"/>
  <c r="H47" i="12"/>
  <c r="I47" i="12" s="1"/>
  <c r="K47" i="12" s="1"/>
  <c r="F48" i="12"/>
  <c r="AF8" i="12"/>
  <c r="AF10" i="12"/>
  <c r="AG3" i="12"/>
  <c r="I12" i="10" l="1"/>
  <c r="K12" i="10" s="1"/>
  <c r="I13" i="10"/>
  <c r="K13" i="10" s="1"/>
  <c r="I17" i="10"/>
  <c r="K17" i="10" s="1"/>
  <c r="I18" i="10"/>
  <c r="K18" i="10" s="1"/>
  <c r="N100" i="15"/>
  <c r="N106" i="15"/>
  <c r="N109" i="15" s="1"/>
  <c r="N74" i="15"/>
  <c r="N88" i="15"/>
  <c r="I36" i="14"/>
  <c r="K36" i="14" s="1"/>
  <c r="L35" i="14"/>
  <c r="L33" i="14"/>
  <c r="Y12" i="10"/>
  <c r="I7" i="10"/>
  <c r="K7" i="10" s="1"/>
  <c r="Y17" i="10"/>
  <c r="D19" i="10" s="1"/>
  <c r="G19" i="10" s="1"/>
  <c r="I19" i="10" s="1"/>
  <c r="K19" i="10" s="1"/>
  <c r="Y7" i="10"/>
  <c r="M9" i="10" s="1"/>
  <c r="I8" i="10"/>
  <c r="K8" i="10" s="1"/>
  <c r="D46" i="12"/>
  <c r="H46" i="12" s="1"/>
  <c r="I46" i="12" s="1"/>
  <c r="K46" i="12" s="1"/>
  <c r="D45" i="12"/>
  <c r="H45" i="12" s="1"/>
  <c r="I45" i="12" s="1"/>
  <c r="K45" i="12" s="1"/>
  <c r="I48" i="12"/>
  <c r="K48" i="12" s="1"/>
  <c r="J121" i="12"/>
  <c r="J117" i="12"/>
  <c r="D49" i="12"/>
  <c r="I49" i="12" s="1"/>
  <c r="K49" i="12" s="1"/>
  <c r="D50" i="12"/>
  <c r="I50" i="12" s="1"/>
  <c r="K50" i="12" s="1"/>
  <c r="I116" i="12" l="1"/>
  <c r="I119" i="12"/>
  <c r="M14" i="10"/>
  <c r="D14" i="10"/>
  <c r="G14" i="10" s="1"/>
  <c r="I14" i="10" s="1"/>
  <c r="K14" i="10" s="1"/>
  <c r="K24" i="10"/>
  <c r="K26" i="10"/>
  <c r="K25" i="10"/>
  <c r="M19" i="10"/>
  <c r="N108" i="15"/>
  <c r="N110" i="15" s="1"/>
  <c r="D9" i="10"/>
  <c r="G9" i="10" s="1"/>
  <c r="I9" i="10" s="1"/>
  <c r="K9" i="10" s="1"/>
  <c r="K61" i="10" l="1"/>
  <c r="J118" i="12"/>
  <c r="K22" i="10"/>
  <c r="J120" i="12"/>
  <c r="J119" i="12"/>
  <c r="K28" i="10" l="1"/>
  <c r="I122" i="12" l="1"/>
  <c r="J116" i="12"/>
  <c r="J122" i="12" l="1"/>
  <c r="M14" i="15" l="1"/>
  <c r="K14" i="15"/>
  <c r="J14" i="15"/>
  <c r="G14" i="15"/>
  <c r="M13" i="15"/>
  <c r="K13" i="15"/>
  <c r="J13" i="15"/>
  <c r="G13" i="15"/>
  <c r="L14" i="15" l="1"/>
  <c r="N14" i="15" s="1"/>
  <c r="L13" i="15"/>
  <c r="N13" i="15" s="1"/>
  <c r="N15" i="15" l="1"/>
  <c r="M58" i="15" l="1"/>
  <c r="J58" i="15"/>
  <c r="L58" i="15" s="1"/>
  <c r="G58" i="15"/>
  <c r="M57" i="15"/>
  <c r="J57" i="15"/>
  <c r="L57" i="15" s="1"/>
  <c r="G57" i="15"/>
  <c r="M56" i="15"/>
  <c r="J56" i="15"/>
  <c r="L56" i="15" s="1"/>
  <c r="G56" i="15"/>
  <c r="M55" i="15"/>
  <c r="J55" i="15"/>
  <c r="L55" i="15" s="1"/>
  <c r="G55" i="15"/>
  <c r="M43" i="15"/>
  <c r="K43" i="15"/>
  <c r="J43" i="15"/>
  <c r="G43" i="15"/>
  <c r="M26" i="15"/>
  <c r="J26" i="15"/>
  <c r="L26" i="15" s="1"/>
  <c r="G26" i="15"/>
  <c r="M25" i="15"/>
  <c r="J25" i="15"/>
  <c r="L25" i="15" s="1"/>
  <c r="G25" i="15"/>
  <c r="M22" i="15"/>
  <c r="K22" i="15"/>
  <c r="J22" i="15"/>
  <c r="G22" i="15"/>
  <c r="M21" i="15"/>
  <c r="K21" i="15"/>
  <c r="J21" i="15"/>
  <c r="G21" i="15"/>
  <c r="J29" i="14"/>
  <c r="E29" i="14"/>
  <c r="J28" i="14"/>
  <c r="H28" i="14"/>
  <c r="E28" i="14"/>
  <c r="G28" i="14" s="1"/>
  <c r="J6" i="14"/>
  <c r="E6" i="14"/>
  <c r="J5" i="14"/>
  <c r="H5" i="14"/>
  <c r="E5" i="14"/>
  <c r="G5" i="14" s="1"/>
  <c r="I4" i="12"/>
  <c r="H4" i="12"/>
  <c r="F4" i="12"/>
  <c r="A10" i="12"/>
  <c r="N58" i="15" l="1"/>
  <c r="N26" i="15"/>
  <c r="N57" i="15"/>
  <c r="N55" i="15"/>
  <c r="N56" i="15"/>
  <c r="L21" i="15"/>
  <c r="N21" i="15" s="1"/>
  <c r="L22" i="15"/>
  <c r="N22" i="15" s="1"/>
  <c r="N25" i="15"/>
  <c r="L43" i="15"/>
  <c r="N43" i="15" s="1"/>
  <c r="I28" i="14"/>
  <c r="K28" i="14" s="1"/>
  <c r="G29" i="14"/>
  <c r="H29" i="14"/>
  <c r="I5" i="14"/>
  <c r="K5" i="14" s="1"/>
  <c r="G6" i="14"/>
  <c r="H6" i="14"/>
  <c r="AJ3" i="12"/>
  <c r="AI3" i="12"/>
  <c r="AJ5" i="12" l="1"/>
  <c r="AM5" i="12" s="1"/>
  <c r="AN5" i="12" s="1"/>
  <c r="AO5" i="12" s="1"/>
  <c r="AJ4" i="12"/>
  <c r="AM4" i="12" s="1"/>
  <c r="AN4" i="12" s="1"/>
  <c r="AO4" i="12" s="1"/>
  <c r="N24" i="15"/>
  <c r="N59" i="15"/>
  <c r="N62" i="15" s="1"/>
  <c r="N42" i="15"/>
  <c r="N53" i="15"/>
  <c r="I29" i="14"/>
  <c r="K29" i="14" s="1"/>
  <c r="L28" i="14" s="1"/>
  <c r="I6" i="14"/>
  <c r="K6" i="14" s="1"/>
  <c r="L5" i="14" l="1"/>
  <c r="N61" i="15"/>
  <c r="N63" i="15" s="1"/>
  <c r="AM3" i="12" l="1"/>
  <c r="AL3" i="12"/>
  <c r="D9" i="12"/>
  <c r="H9" i="12" s="1"/>
  <c r="D8" i="12"/>
  <c r="AF5" i="12"/>
  <c r="E4" i="12" s="1"/>
  <c r="F5" i="12" s="1"/>
  <c r="AF4" i="12"/>
  <c r="J10" i="12"/>
  <c r="J9" i="12"/>
  <c r="J8" i="12"/>
  <c r="J6" i="12"/>
  <c r="J5" i="12"/>
  <c r="B4" i="12" l="1"/>
  <c r="C10" i="12" s="1"/>
  <c r="AN3" i="12"/>
  <c r="AO3" i="12" s="1"/>
  <c r="D5" i="12"/>
  <c r="H5" i="12" s="1"/>
  <c r="I5" i="12" s="1"/>
  <c r="K5" i="12" s="1"/>
  <c r="F9" i="12"/>
  <c r="I9" i="12" s="1"/>
  <c r="K9" i="12" s="1"/>
  <c r="H8" i="12"/>
  <c r="I8" i="12" s="1"/>
  <c r="K8" i="12" s="1"/>
  <c r="I37" i="12"/>
  <c r="F6" i="12"/>
  <c r="D6" i="12"/>
  <c r="AP3" i="12" l="1"/>
  <c r="M9" i="12" s="1"/>
  <c r="D10" i="12" s="1"/>
  <c r="I10" i="12" s="1"/>
  <c r="K10" i="12" s="1"/>
  <c r="H6" i="12"/>
  <c r="I6" i="12" s="1"/>
  <c r="K6" i="12" s="1"/>
  <c r="I34" i="12" l="1"/>
  <c r="I36" i="12"/>
  <c r="I35" i="12"/>
  <c r="J37" i="12" l="1"/>
  <c r="J36" i="12"/>
  <c r="J34" i="12" l="1"/>
  <c r="J35" i="12" l="1"/>
  <c r="I33" i="12" l="1"/>
  <c r="J33" i="12" s="1"/>
  <c r="I32" i="12"/>
  <c r="J32" i="12" s="1"/>
  <c r="I38" i="12" l="1"/>
  <c r="J38" i="12"/>
  <c r="L199" i="60" l="1"/>
  <c r="L193" i="60"/>
  <c r="L194" i="60" l="1"/>
  <c r="I187" i="60" s="1"/>
  <c r="B187" i="60" l="1"/>
</calcChain>
</file>

<file path=xl/sharedStrings.xml><?xml version="1.0" encoding="utf-8"?>
<sst xmlns="http://schemas.openxmlformats.org/spreadsheetml/2006/main" count="5978" uniqueCount="767">
  <si>
    <t>BILL OF QUANTITIES</t>
  </si>
  <si>
    <t>IGMH- PROPOSED OFFICE &amp; CEILING WORK</t>
  </si>
  <si>
    <t>REPUBLIC OF MALDIVES</t>
  </si>
  <si>
    <t>FEB 2025</t>
  </si>
  <si>
    <r>
      <t xml:space="preserve">f) Concealed ceiling to all other areas should be covered with 90mm tk </t>
    </r>
    <r>
      <rPr>
        <b/>
        <sz val="10"/>
        <color rgb="FFFF0000"/>
        <rFont val="Arial Narrow"/>
        <family val="2"/>
      </rPr>
      <t>SCG elephant</t>
    </r>
    <r>
      <rPr>
        <b/>
        <sz val="10"/>
        <rFont val="Arial Narrow"/>
        <family val="2"/>
      </rPr>
      <t xml:space="preserve"> </t>
    </r>
    <r>
      <rPr>
        <sz val="10"/>
        <rFont val="Arial Narrow"/>
        <family val="2"/>
      </rPr>
      <t>gypsum board with  steel frame, beading, nails and screws, along with required inspection openings.</t>
    </r>
  </si>
  <si>
    <t>SUMMARY</t>
  </si>
  <si>
    <t>BILL NO</t>
  </si>
  <si>
    <t>DESCRIPTION</t>
  </si>
  <si>
    <t>AMOUNT</t>
  </si>
  <si>
    <t>CURRENCY</t>
  </si>
  <si>
    <t xml:space="preserve">MVR </t>
  </si>
  <si>
    <t>BILL NO: 02 - PROPOSED OFFICE</t>
  </si>
  <si>
    <t>BILL N0: 03 - GOOD DISPENSING AREA</t>
  </si>
  <si>
    <t>BILL N0: 04 - GOOD STORAGE ROOM</t>
  </si>
  <si>
    <t>BILL N0: 05 - COLD STORAGE</t>
  </si>
  <si>
    <t>BILL N0: 06- FILES MOVING TO 
HULHUMALE WAREHOUSE</t>
  </si>
  <si>
    <t>SUB TOTAL =</t>
  </si>
  <si>
    <t>GST 8% =</t>
  </si>
  <si>
    <t>GRAND TOTAL =</t>
  </si>
  <si>
    <t>DURATION =</t>
  </si>
  <si>
    <t>DAYS</t>
  </si>
  <si>
    <t>VALIDITY =</t>
  </si>
  <si>
    <t>SL.NO</t>
  </si>
  <si>
    <t>UNIT</t>
  </si>
  <si>
    <t>QTY</t>
  </si>
  <si>
    <t>LABOUR RATE</t>
  </si>
  <si>
    <t>MATERIAL RATE</t>
  </si>
  <si>
    <t>TOTAL AMOUNT</t>
  </si>
  <si>
    <t>BILL NO: 01 - PRELIMINARIES</t>
  </si>
  <si>
    <t>GENERAL</t>
  </si>
  <si>
    <t>Abbreviations</t>
  </si>
  <si>
    <t>m - meter</t>
  </si>
  <si>
    <t>nos - numbers</t>
  </si>
  <si>
    <t>Cu.m - cubic meter</t>
  </si>
  <si>
    <t>Sq.m - square meter</t>
  </si>
  <si>
    <t>Rm - Running meter</t>
  </si>
  <si>
    <t>Kg - Kilograms</t>
  </si>
  <si>
    <t>incl - including</t>
  </si>
  <si>
    <t>mm - millimeter</t>
  </si>
  <si>
    <t>dia - diameter</t>
  </si>
  <si>
    <t>SS - Stainless Steel</t>
  </si>
  <si>
    <t>GI - Galvanized Iron</t>
  </si>
  <si>
    <t>MOBILIZATION</t>
  </si>
  <si>
    <t>1.2.1</t>
  </si>
  <si>
    <t>Rates shall include for: Removal of the existing shelf, removing the paint, clearing the site and removal of the exisitng Network cable.</t>
  </si>
  <si>
    <t>LS</t>
  </si>
  <si>
    <t>1.2.2</t>
  </si>
  <si>
    <t>Removing Store area and office area ceiling after staffs shift to new office area</t>
  </si>
  <si>
    <t>TERMITE TREATMENT</t>
  </si>
  <si>
    <t>1.3.1</t>
  </si>
  <si>
    <t>Approved termite treatment is recommended as it is an extisting building.</t>
  </si>
  <si>
    <t>TOTAL OF BILL NO. 01 - PRELIMINARIES</t>
  </si>
  <si>
    <t>(CARRIED OVER TO THE GENERAL SUMMARY)</t>
  </si>
  <si>
    <t>BILL NO: 03</t>
  </si>
  <si>
    <t>CONCRETE  WORKS</t>
  </si>
  <si>
    <t xml:space="preserve">GENERAL </t>
  </si>
  <si>
    <t>a) Mix ratio for  reinforced concrete &amp; lean concrete shall be as specified by the structural engineer/as per drawing.</t>
  </si>
  <si>
    <t>note</t>
  </si>
  <si>
    <t>b) Rates for reinforcement shall include for: cleaning, fabrication, placing, the provision for all necessary temporary fixings and supports including tie wire and chair supports, laps and wastage.</t>
  </si>
  <si>
    <t xml:space="preserve">c) Rates for reinforcement shall be given in compliance to all structural drawings and technical specifications. </t>
  </si>
  <si>
    <t>d) Rates includes all necessary curing as per standard and third party testing over the cement, concrete cube and on steel and cube has to be cast for testing as per standard.</t>
  </si>
  <si>
    <t>CONCRETE WORKS</t>
  </si>
  <si>
    <t>LEAN CONCRETE</t>
  </si>
  <si>
    <t>Note: Quantity is measured to the edges of concrete members. Rates shall be inclusive of any additional concrete required to place the formwork.</t>
  </si>
  <si>
    <t>3.2.1</t>
  </si>
  <si>
    <t>50mm thick lean concrete under the footing &amp; tie beam with a mix of 1:2:4</t>
  </si>
  <si>
    <t>Cu.m</t>
  </si>
  <si>
    <t>REINFORCED CONCRETE (1:2:3)</t>
  </si>
  <si>
    <t>3.2.2</t>
  </si>
  <si>
    <t>Raft - 400mm tk</t>
  </si>
  <si>
    <t>3.2.3</t>
  </si>
  <si>
    <t>Foundation beams</t>
  </si>
  <si>
    <t>3.2.4</t>
  </si>
  <si>
    <t>Columns</t>
  </si>
  <si>
    <t>3.2.5</t>
  </si>
  <si>
    <t>Lift wall</t>
  </si>
  <si>
    <t>3.2.6</t>
  </si>
  <si>
    <t>Stair starter</t>
  </si>
  <si>
    <t>3.2.7</t>
  </si>
  <si>
    <t>Grade slab - 100mm tk</t>
  </si>
  <si>
    <t>FORMWORK</t>
  </si>
  <si>
    <t>3.2.8</t>
  </si>
  <si>
    <t>item</t>
  </si>
  <si>
    <t>3.2.9</t>
  </si>
  <si>
    <t>Sq.m</t>
  </si>
  <si>
    <t>3.2.10</t>
  </si>
  <si>
    <t>3.2.11</t>
  </si>
  <si>
    <t>3.2.12</t>
  </si>
  <si>
    <t>REINFORCEMENT</t>
  </si>
  <si>
    <t>3.2.13</t>
  </si>
  <si>
    <t>a)</t>
  </si>
  <si>
    <t>T12</t>
  </si>
  <si>
    <t>Kg</t>
  </si>
  <si>
    <t>3.2.14</t>
  </si>
  <si>
    <t>T20</t>
  </si>
  <si>
    <t>b)</t>
  </si>
  <si>
    <t>T16</t>
  </si>
  <si>
    <t>c)</t>
  </si>
  <si>
    <t>T10</t>
  </si>
  <si>
    <t>3.2.15</t>
  </si>
  <si>
    <t>R6</t>
  </si>
  <si>
    <t>3.2.16</t>
  </si>
  <si>
    <t>3.2.17</t>
  </si>
  <si>
    <t>3.2.18</t>
  </si>
  <si>
    <t>GROUND FLOOR</t>
  </si>
  <si>
    <t>RCC (1:2:3)</t>
  </si>
  <si>
    <t>3.3.1</t>
  </si>
  <si>
    <t>3.3.2</t>
  </si>
  <si>
    <t>Attached beams</t>
  </si>
  <si>
    <t>3.3.3</t>
  </si>
  <si>
    <t>Slab</t>
  </si>
  <si>
    <t>3.3.4</t>
  </si>
  <si>
    <t>3.3.5</t>
  </si>
  <si>
    <t>Staircase</t>
  </si>
  <si>
    <t>3.3.6</t>
  </si>
  <si>
    <t>3.3.7</t>
  </si>
  <si>
    <t>3.3.8</t>
  </si>
  <si>
    <t>3.3.9</t>
  </si>
  <si>
    <t>3.3.10</t>
  </si>
  <si>
    <t>3.3.11</t>
  </si>
  <si>
    <t>3.3.12</t>
  </si>
  <si>
    <t>3.3.13</t>
  </si>
  <si>
    <t>3.3.14</t>
  </si>
  <si>
    <t>3.3.15</t>
  </si>
  <si>
    <t>FIRST FLOOR</t>
  </si>
  <si>
    <t>3.4.1</t>
  </si>
  <si>
    <t>3.4.2</t>
  </si>
  <si>
    <t>3.4.3</t>
  </si>
  <si>
    <t>3.4.4</t>
  </si>
  <si>
    <t>3.4.5</t>
  </si>
  <si>
    <t>3.4.6</t>
  </si>
  <si>
    <t>Rc wall</t>
  </si>
  <si>
    <t>3.4.7</t>
  </si>
  <si>
    <t>3.4.8</t>
  </si>
  <si>
    <t>3.4.9</t>
  </si>
  <si>
    <t>3.4.10</t>
  </si>
  <si>
    <t>3.4.11</t>
  </si>
  <si>
    <t>3.4.12</t>
  </si>
  <si>
    <t>3.4.13</t>
  </si>
  <si>
    <t>3.4.14</t>
  </si>
  <si>
    <t>3.4.15</t>
  </si>
  <si>
    <t>3.4.16</t>
  </si>
  <si>
    <t>3.4.17</t>
  </si>
  <si>
    <t>3.4.18</t>
  </si>
  <si>
    <t>SECOND FLOOR</t>
  </si>
  <si>
    <t>3.5.1</t>
  </si>
  <si>
    <t>3.5.2</t>
  </si>
  <si>
    <t>3.5.3</t>
  </si>
  <si>
    <t>3.5.4</t>
  </si>
  <si>
    <t>3.5.5</t>
  </si>
  <si>
    <t>3.5.6</t>
  </si>
  <si>
    <t>3.5.7</t>
  </si>
  <si>
    <t>3.5.8</t>
  </si>
  <si>
    <t>3.5.9</t>
  </si>
  <si>
    <t>3.5.10</t>
  </si>
  <si>
    <t>3.5.11</t>
  </si>
  <si>
    <t>3.5.12</t>
  </si>
  <si>
    <t>3.5.13</t>
  </si>
  <si>
    <t>3.5.14</t>
  </si>
  <si>
    <t>3.5.15</t>
  </si>
  <si>
    <t>3.5.16</t>
  </si>
  <si>
    <t>3.5.17</t>
  </si>
  <si>
    <t>3.5.18</t>
  </si>
  <si>
    <t>THIRD FLOOR</t>
  </si>
  <si>
    <t>3.6.1</t>
  </si>
  <si>
    <t>3.6.2</t>
  </si>
  <si>
    <t>3.6.3</t>
  </si>
  <si>
    <t>3.6.4</t>
  </si>
  <si>
    <t>3.6.5</t>
  </si>
  <si>
    <t>3.6.6</t>
  </si>
  <si>
    <t>3.6.7</t>
  </si>
  <si>
    <t>3.6.8</t>
  </si>
  <si>
    <t>3.6.9</t>
  </si>
  <si>
    <t>3.6.10</t>
  </si>
  <si>
    <t>3.6.11</t>
  </si>
  <si>
    <t>3.6.12</t>
  </si>
  <si>
    <t>3.6.13</t>
  </si>
  <si>
    <t>3.6.14</t>
  </si>
  <si>
    <t>3.6.15</t>
  </si>
  <si>
    <t>3.6.16</t>
  </si>
  <si>
    <t>3.6.17</t>
  </si>
  <si>
    <t>3.6.18</t>
  </si>
  <si>
    <t>FOURTH FLOOR</t>
  </si>
  <si>
    <t>3.7.1</t>
  </si>
  <si>
    <t>3.7.2</t>
  </si>
  <si>
    <t>3.7.3</t>
  </si>
  <si>
    <t>3.7.4</t>
  </si>
  <si>
    <t>3.7.5</t>
  </si>
  <si>
    <t>3.7.6</t>
  </si>
  <si>
    <t>3.7.7</t>
  </si>
  <si>
    <t>3.7.8</t>
  </si>
  <si>
    <t>3.7.9</t>
  </si>
  <si>
    <t>3.7.10</t>
  </si>
  <si>
    <t>3.7.11</t>
  </si>
  <si>
    <t>3.7.12</t>
  </si>
  <si>
    <t>3.7.13</t>
  </si>
  <si>
    <t>3.7.14</t>
  </si>
  <si>
    <t>3.7.15</t>
  </si>
  <si>
    <t>3.7.16</t>
  </si>
  <si>
    <t>3.7.18</t>
  </si>
  <si>
    <t>3.7.19</t>
  </si>
  <si>
    <t>FIFTH FLOOR</t>
  </si>
  <si>
    <t>3.8.1</t>
  </si>
  <si>
    <t>3.8.2</t>
  </si>
  <si>
    <t>3.8.3</t>
  </si>
  <si>
    <t>3.8.4</t>
  </si>
  <si>
    <t>3.8.5</t>
  </si>
  <si>
    <t>3.8.6</t>
  </si>
  <si>
    <t>3.8.7</t>
  </si>
  <si>
    <t>3.8.8</t>
  </si>
  <si>
    <t>3.8.9</t>
  </si>
  <si>
    <t>3.8.10</t>
  </si>
  <si>
    <t>3.8.11</t>
  </si>
  <si>
    <t>3.8.12</t>
  </si>
  <si>
    <t>3.8.13</t>
  </si>
  <si>
    <t>3.8.14</t>
  </si>
  <si>
    <t>3.8.15</t>
  </si>
  <si>
    <t>3.8.16</t>
  </si>
  <si>
    <t>3.8.17</t>
  </si>
  <si>
    <t>3.8.18</t>
  </si>
  <si>
    <t xml:space="preserve">TERRACE &amp; ROOF </t>
  </si>
  <si>
    <t>3.9.1</t>
  </si>
  <si>
    <t>3.9.2</t>
  </si>
  <si>
    <t>3.9.3</t>
  </si>
  <si>
    <t>3.9.4</t>
  </si>
  <si>
    <t>3.9.5</t>
  </si>
  <si>
    <t>3.9.6</t>
  </si>
  <si>
    <t>3.9.7</t>
  </si>
  <si>
    <t>3.9.8</t>
  </si>
  <si>
    <t>3.9.9</t>
  </si>
  <si>
    <t>3.9.10</t>
  </si>
  <si>
    <t>3.9.11</t>
  </si>
  <si>
    <t>3.9.12</t>
  </si>
  <si>
    <t>3.9.13</t>
  </si>
  <si>
    <t>3.9.14</t>
  </si>
  <si>
    <t>3.9.15</t>
  </si>
  <si>
    <t>DAMP PROOF MEMBRANE/WATER PROOFING</t>
  </si>
  <si>
    <t>Rates shall include for: dressing around and sealing to all penetrations, laps and turnups</t>
  </si>
  <si>
    <t>3.10.1</t>
  </si>
  <si>
    <t>Heavy duty Polythene sheet damp proof membrane (500 gauge) laid on blinding layer under footing and bottom of the tie beams.</t>
  </si>
  <si>
    <t>3.10.2</t>
  </si>
  <si>
    <t>Apply bituminous type waterproofing in 2 coats to all surfaces of concrete below ground level in accordance with the specifications and manufacturer's instructions.</t>
  </si>
  <si>
    <t>TOTAL OF BILL NO. 03 - CONCRETE WORKS</t>
  </si>
  <si>
    <t>a) Rate shall includes for provision of fibre glass mesh, and application of bonding agent for concrete &amp; masonary.</t>
  </si>
  <si>
    <t>b) External walls shall be 100 mm wide solid blocks, laid on and incl. 1:5 Cement Mortor, tie rods, compression gap filler, nylon / plastic mesh as specified.</t>
  </si>
  <si>
    <t>c) Internal walls shall be 100mm wide solid blocks, laid on and incl. 1:5 Cement Mortor, tie rods, compression gap filler mesh as specified.</t>
  </si>
  <si>
    <t>d) 25mm cement plastering on external walls and concrete surfaces with 1:4 Cement mortor mix as specified incl. fibre mesh at joints of concrete surfaces and walls (first,second coats) and mixing of mortor with mixer machine.</t>
  </si>
  <si>
    <t>e) 15mm cement plastering on internal walls and concrete surfaces with 1:4 Cement mortor mix as specified incl. wire mesh at joints of concrete surfaces and walls (one coat) &amp; mixing of mortor with mixer machine.</t>
  </si>
  <si>
    <t>CONSTRUCTION WORK</t>
  </si>
  <si>
    <t>2.2.1</t>
  </si>
  <si>
    <t>100mm thk Cement Board Partition Wall</t>
  </si>
  <si>
    <t>2.2.2</t>
  </si>
  <si>
    <t xml:space="preserve">Demolition of Existing Wall for the Proposed Entrance Door </t>
  </si>
  <si>
    <t>2.2.3</t>
  </si>
  <si>
    <t>General floor - 50mm tk mix 1:4</t>
  </si>
  <si>
    <t>2.2.4</t>
  </si>
  <si>
    <t>Vinyl Flooring</t>
  </si>
  <si>
    <t>2.2.5</t>
  </si>
  <si>
    <t>Putty done in 2-Coats</t>
  </si>
  <si>
    <t>2.2.6</t>
  </si>
  <si>
    <t xml:space="preserve">Paint </t>
  </si>
  <si>
    <t>Doors and Glass Schedule</t>
  </si>
  <si>
    <t>2.3.1</t>
  </si>
  <si>
    <t>Entrance Door-1100 x 2100mm-  Aluminium Swing door</t>
  </si>
  <si>
    <t>nos</t>
  </si>
  <si>
    <t>2.3.2</t>
  </si>
  <si>
    <t>HOD Room Door- 900 x 2100mm - Glass Partition</t>
  </si>
  <si>
    <t>2.3.3</t>
  </si>
  <si>
    <t>Half Frosted Glass- To be started 1200mm from FFL Till Ceiling Level</t>
  </si>
  <si>
    <t>Sqm.</t>
  </si>
  <si>
    <t>CEILING WORKS</t>
  </si>
  <si>
    <t>2.4.1</t>
  </si>
  <si>
    <t>General gypsum board ceiling with steel frames</t>
  </si>
  <si>
    <t>ELECTRICAL &amp; NETWORK SYSTEM</t>
  </si>
  <si>
    <t>2.5.1</t>
  </si>
  <si>
    <t>Feeder Cables</t>
  </si>
  <si>
    <t>Supply, Installation &amp; Termination of minimum 4Cx6 mm2 XLPE/SWA/PVC/Cu cable from Main Outside Feeding point to Main DB.</t>
  </si>
  <si>
    <t>Items</t>
  </si>
  <si>
    <t>Supply, Installation &amp; Termination of minimum 4Cx6 mm2 XLPE/SWA/PVC/Cu cable +6mm2 PVC/Cu Earth cable from Main DB to Sub DB.</t>
  </si>
  <si>
    <t>Allow for Telephone/LAN main cabling and sub cabling for HOD room, Assitt. Director, and working stations.</t>
  </si>
  <si>
    <t>d)</t>
  </si>
  <si>
    <t>Allow for the Fire alarm cabling from the nearby fire panel/room.</t>
  </si>
  <si>
    <t>2.5.2</t>
  </si>
  <si>
    <t>Wiring Works</t>
  </si>
  <si>
    <t>2.5 sq.mm Wiring for power sockets</t>
  </si>
  <si>
    <t>points</t>
  </si>
  <si>
    <t>1.5 sq.mm Wiring for lights points</t>
  </si>
  <si>
    <t>Wiring &amp; Cabling for the Network intets</t>
  </si>
  <si>
    <t>2.5.4</t>
  </si>
  <si>
    <t>Lights Fiitings</t>
  </si>
  <si>
    <t>Ceiling Pinlight</t>
  </si>
  <si>
    <t>Nos</t>
  </si>
  <si>
    <t>Reading Wall Light</t>
  </si>
  <si>
    <t>2.5.5</t>
  </si>
  <si>
    <t>Switches, Sockets, Data Point &amp; Telephone points</t>
  </si>
  <si>
    <t>i)</t>
  </si>
  <si>
    <t>HOD Room</t>
  </si>
  <si>
    <t>Single Gang</t>
  </si>
  <si>
    <t>Double Gang</t>
  </si>
  <si>
    <t>Cat 6 data point (N)</t>
  </si>
  <si>
    <t>Telephone points (T) Cat 6 data point</t>
  </si>
  <si>
    <t>ii)</t>
  </si>
  <si>
    <t>Assistant Director</t>
  </si>
  <si>
    <t>iii)</t>
  </si>
  <si>
    <t>Working Station</t>
  </si>
  <si>
    <t>iv)</t>
  </si>
  <si>
    <t>Printers, Cameras, Wifi AP, Access Control, Phone &amp; TV</t>
  </si>
  <si>
    <t>Cat 6 data point (N) for Printer</t>
  </si>
  <si>
    <t>Cat 6 data point (N) for TV</t>
  </si>
  <si>
    <t>Cat6 data point (N) for Camera (Ceiling)</t>
  </si>
  <si>
    <t>e)</t>
  </si>
  <si>
    <t>Cat6 data point (N) for Wifi AP (Ceiling)</t>
  </si>
  <si>
    <t>f)</t>
  </si>
  <si>
    <t>Cat6 data point for Electronic Door Lock System</t>
  </si>
  <si>
    <t>g)</t>
  </si>
  <si>
    <t>Electronic Door Lock System (Salto)</t>
  </si>
  <si>
    <t>h)</t>
  </si>
  <si>
    <t>Camera Dome 6 MP (Hikvision)</t>
  </si>
  <si>
    <t>SIP Phone (Gigabit)</t>
  </si>
  <si>
    <t>j)</t>
  </si>
  <si>
    <t xml:space="preserve">Network switch (Huawei :Model: S5735-L48LP4S-A-V2) poe 48 port </t>
  </si>
  <si>
    <t>k)</t>
  </si>
  <si>
    <t>9u Switch Rack with 48 port Patch Panel</t>
  </si>
  <si>
    <t>2.5.6</t>
  </si>
  <si>
    <t>Air Conditioning System</t>
  </si>
  <si>
    <t>a) Inverter type air conditioner, Ceiling and Wall mounted indoor and outdoor unit, refrigerant pipes with insulation, refrigerant, control wiring, conduiting, wired thermostat c/w cables and conduits and local control system complete set as per the drawings and technical specifications.</t>
  </si>
  <si>
    <t>b) All AC indoor and out door units should be LG or similar.</t>
  </si>
  <si>
    <t>Wall mounted AC Unit</t>
  </si>
  <si>
    <t>Ceiling mounted AC</t>
  </si>
  <si>
    <t>Furniture</t>
  </si>
  <si>
    <t>Shelf</t>
  </si>
  <si>
    <t>High Back Chair</t>
  </si>
  <si>
    <t>Visitor chair</t>
  </si>
  <si>
    <t>Table with side return</t>
  </si>
  <si>
    <t>Asisstant Director</t>
  </si>
  <si>
    <t xml:space="preserve">Shelf </t>
  </si>
  <si>
    <t>Table with Glass</t>
  </si>
  <si>
    <t>Chair</t>
  </si>
  <si>
    <t xml:space="preserve">Others </t>
  </si>
  <si>
    <t>Discussion Table</t>
  </si>
  <si>
    <t>Planter Box</t>
  </si>
  <si>
    <t>Discussion Board</t>
  </si>
  <si>
    <t>TOTAL OF BILL NO. 02- PROPOSED OFFICE</t>
  </si>
  <si>
    <t>3.1.1</t>
  </si>
  <si>
    <t>a) Rates shall include for: all material &amp; labour in framing, notching and fitting around projections, pipes, light fittings, hatches, grilles and similar and complete with cleats, packers, wedges and similar and all nails and screws.</t>
  </si>
  <si>
    <t>b) Rate shall include for anti-termite paint on timber framing and all painting on celling board will be measured under "Paint" category.</t>
  </si>
  <si>
    <t>c) Rate shall include for all cutting and properly finishing on the ceiling for light, exhaust fan or any other fixture and service opening.</t>
  </si>
  <si>
    <t>d) All joint should be filled with fiber mesh and properly finish with putty before painting.</t>
  </si>
  <si>
    <t>e) Concealed ceiling to all toilets and balcony  with 4 mm SCG smart cement fiber board with  steel frame, beading, nails and screws, along with required inspection openings.</t>
  </si>
  <si>
    <r>
      <t xml:space="preserve">f) Concealed ceiling to all other areas should be covered with 90mm tk </t>
    </r>
    <r>
      <rPr>
        <b/>
        <sz val="10"/>
        <color rgb="FFFF0000"/>
        <rFont val="Arial Narrow"/>
        <family val="2"/>
      </rPr>
      <t>SCG elephant</t>
    </r>
    <r>
      <rPr>
        <b/>
        <sz val="10"/>
        <rFont val="Arial Narrow"/>
        <family val="2"/>
      </rPr>
      <t xml:space="preserve"> </t>
    </r>
    <r>
      <rPr>
        <sz val="10"/>
        <rFont val="Arial Narrow"/>
        <family val="2"/>
      </rPr>
      <t>gypsum board with steel frame, beading, nails and screws, along with required inspection openings.</t>
    </r>
  </si>
  <si>
    <t>General gypsum board ceiling</t>
  </si>
  <si>
    <t>FURNITURE</t>
  </si>
  <si>
    <t>Counter - 600 x 3820 x 850 mm - Timber Finish( Provided by the Client)</t>
  </si>
  <si>
    <t>TOTAL OF BILL No: 03 - GOOD DISPENSING AREA</t>
  </si>
  <si>
    <t>4.4.1</t>
  </si>
  <si>
    <t>4.4.2</t>
  </si>
  <si>
    <t>TOTAL OF BILL No: 04- GOOD STORAGE ROOM</t>
  </si>
  <si>
    <t>BILL N0: 05- COLD STORAGE</t>
  </si>
  <si>
    <t>5.1.1</t>
  </si>
  <si>
    <t>5.1.2</t>
  </si>
  <si>
    <t>5.1.3</t>
  </si>
  <si>
    <t>AIR CONDITIONING SYSTEM</t>
  </si>
  <si>
    <t>Ceiling Mounted Aircon system</t>
  </si>
  <si>
    <t>5.1.4</t>
  </si>
  <si>
    <t>After removing store area and office area all area must be paint in Matte black</t>
  </si>
  <si>
    <t>Ls</t>
  </si>
  <si>
    <t>TOTAL OF BILL No: 05- COLD STORAGE</t>
  </si>
  <si>
    <t>BILL N0: 06- FILES MOVING TO HULHUMALE WAREHOUSE</t>
  </si>
  <si>
    <t>FILES MOVING TO HULHUMALE WAREHOUSE</t>
  </si>
  <si>
    <t>6.1.1</t>
  </si>
  <si>
    <t>a) Rates shall include for: all material &amp; labour cost. all the tranportation cost have to add</t>
  </si>
  <si>
    <t>6.1.2</t>
  </si>
  <si>
    <t>Basement Archive</t>
  </si>
  <si>
    <t>Moving Files to Hulhumale Warehouse</t>
  </si>
  <si>
    <t>6.1.3</t>
  </si>
  <si>
    <t xml:space="preserve">Housing 2 Floor Lift Side </t>
  </si>
  <si>
    <t>6.1.4</t>
  </si>
  <si>
    <t>Housing 2 Floor Gym Side</t>
  </si>
  <si>
    <t>FOUNDATION</t>
  </si>
  <si>
    <t>ISOLATED FOOTING</t>
  </si>
  <si>
    <t>EXCAVATION</t>
  </si>
  <si>
    <t>50mm tk Sand bed</t>
  </si>
  <si>
    <t>Description</t>
  </si>
  <si>
    <t>Length</t>
  </si>
  <si>
    <t>Width</t>
  </si>
  <si>
    <t>Depth</t>
  </si>
  <si>
    <t>Cu. Value</t>
  </si>
  <si>
    <t>Sq.Value</t>
  </si>
  <si>
    <t>F1</t>
  </si>
  <si>
    <t>Need to add 50mm both side</t>
  </si>
  <si>
    <t>F2</t>
  </si>
  <si>
    <t>F3</t>
  </si>
  <si>
    <t>F4</t>
  </si>
  <si>
    <t>Total =</t>
  </si>
  <si>
    <t>Width/Depth</t>
  </si>
  <si>
    <t>TB1</t>
  </si>
  <si>
    <t>TB2</t>
  </si>
  <si>
    <t>TB3</t>
  </si>
  <si>
    <t>LENGTH DETAILS:</t>
  </si>
  <si>
    <t>2 270</t>
  </si>
  <si>
    <t>SOLID CONCRETE</t>
  </si>
  <si>
    <t xml:space="preserve">SHUTTERING </t>
  </si>
  <si>
    <t>BITUMEN LAYER</t>
  </si>
  <si>
    <t>FOOTING</t>
  </si>
  <si>
    <t>TIE BEAM</t>
  </si>
  <si>
    <t>TOP SURFACE</t>
  </si>
  <si>
    <t>SIDE</t>
  </si>
  <si>
    <t>Extra</t>
  </si>
  <si>
    <t>Sq. Value</t>
  </si>
  <si>
    <t>Area</t>
  </si>
  <si>
    <t>Perimeter</t>
  </si>
  <si>
    <t>TB2 &amp; TB3</t>
  </si>
  <si>
    <t>TB1,TB2 &amp; TB3</t>
  </si>
  <si>
    <t>RAFT FOUNDATION</t>
  </si>
  <si>
    <t>Length/Area</t>
  </si>
  <si>
    <t>450MM TK RAFT</t>
  </si>
  <si>
    <t>RAFT</t>
  </si>
  <si>
    <t>FB</t>
  </si>
  <si>
    <t>CALCULATED BASE ON PERIMETER</t>
  </si>
  <si>
    <t>FB1-FB4</t>
  </si>
  <si>
    <t>FB Length</t>
  </si>
  <si>
    <t>COLUMN</t>
  </si>
  <si>
    <t>m</t>
  </si>
  <si>
    <t>C1</t>
  </si>
  <si>
    <t>C2</t>
  </si>
  <si>
    <t>C3</t>
  </si>
  <si>
    <t>STARTER</t>
  </si>
  <si>
    <t>300mm tk Starter</t>
  </si>
  <si>
    <t>BACKFLLING</t>
  </si>
  <si>
    <t>Footing</t>
  </si>
  <si>
    <t>Tie Beams</t>
  </si>
  <si>
    <t>Additional</t>
  </si>
  <si>
    <t>GRADE SLAB</t>
  </si>
  <si>
    <t>POLYTHENE</t>
  </si>
  <si>
    <t>Grade Slab</t>
  </si>
  <si>
    <t>THIS ITEMS FOR SLAB DECUTION</t>
  </si>
  <si>
    <t>1ST FLOOR</t>
  </si>
  <si>
    <t>Legth</t>
  </si>
  <si>
    <t>ATTACHED BEAMS</t>
  </si>
  <si>
    <t>B1, B2, B3 &amp; B4</t>
  </si>
  <si>
    <t>Beam Lengths</t>
  </si>
  <si>
    <t>SLAB</t>
  </si>
  <si>
    <t>Width/Area</t>
  </si>
  <si>
    <t>Area Value</t>
  </si>
  <si>
    <t>135mm tk Slab</t>
  </si>
  <si>
    <t>150mm tk Slab</t>
  </si>
  <si>
    <t>Void Side</t>
  </si>
  <si>
    <t>Deduction</t>
  </si>
  <si>
    <t>Artium void</t>
  </si>
  <si>
    <t>Lift Void</t>
  </si>
  <si>
    <t>Stair Well &amp; Voids</t>
  </si>
  <si>
    <t>Stair Well</t>
  </si>
  <si>
    <t xml:space="preserve">Column </t>
  </si>
  <si>
    <t>Beam &amp; Column</t>
  </si>
  <si>
    <t>Slab Details</t>
  </si>
  <si>
    <t>Side Shuttering</t>
  </si>
  <si>
    <t>Beam Outer Length</t>
  </si>
  <si>
    <t>Stair Outer</t>
  </si>
  <si>
    <t>Void Outer</t>
  </si>
  <si>
    <t>STAIRCASE</t>
  </si>
  <si>
    <t>Depth/Area</t>
  </si>
  <si>
    <t>Waist Slab- Up</t>
  </si>
  <si>
    <t>Waist Slab- Dn</t>
  </si>
  <si>
    <t>Half Landing -1</t>
  </si>
  <si>
    <t xml:space="preserve">Half Landing - Triangle </t>
  </si>
  <si>
    <t>Steps</t>
  </si>
  <si>
    <t>2ND FLOOR</t>
  </si>
  <si>
    <t>B1,B2,B3 &amp; B4</t>
  </si>
  <si>
    <t>Artium Voids</t>
  </si>
  <si>
    <t>TERRACE FLOOR</t>
  </si>
  <si>
    <t>B1,B2,B3, B4 &amp; B5</t>
  </si>
  <si>
    <t>170mm tk Slab</t>
  </si>
  <si>
    <t>ROOF</t>
  </si>
  <si>
    <t>B1,B2</t>
  </si>
  <si>
    <t>Swimming Pool</t>
  </si>
  <si>
    <t xml:space="preserve">Area Value </t>
  </si>
  <si>
    <t>Pool wall lengths</t>
  </si>
  <si>
    <t>Pool RC Wall</t>
  </si>
  <si>
    <t>Pool deck</t>
  </si>
  <si>
    <t>ATTCHED BEAMS</t>
  </si>
  <si>
    <t>B1-B6</t>
  </si>
  <si>
    <t>Attached beam lengths</t>
  </si>
  <si>
    <t>B1-B3</t>
  </si>
  <si>
    <t>Total Slab</t>
  </si>
  <si>
    <t>Shaded Slab</t>
  </si>
  <si>
    <t>Beam Outer Side</t>
  </si>
  <si>
    <t>Cantilever</t>
  </si>
  <si>
    <t>Stair Side</t>
  </si>
  <si>
    <t>Half Landing -2</t>
  </si>
  <si>
    <t>RC WALL</t>
  </si>
  <si>
    <t>Rc wall lengths</t>
  </si>
  <si>
    <t>100mm tk</t>
  </si>
  <si>
    <t>3RD FLOOR</t>
  </si>
  <si>
    <t>ROOFING WORKS</t>
  </si>
  <si>
    <t>ROOFING FRAMES</t>
  </si>
  <si>
    <t>Total. Length</t>
  </si>
  <si>
    <t>75mm x 75mm Ridge cap</t>
  </si>
  <si>
    <t>75mm x 75mm Wall plate</t>
  </si>
  <si>
    <t>50x150mm Timber Rafter</t>
  </si>
  <si>
    <t>40x40mm Timber Battens</t>
  </si>
  <si>
    <t>25x250mm timber Fascia Board</t>
  </si>
  <si>
    <t>Ridge flashing</t>
  </si>
  <si>
    <t>Side flashing</t>
  </si>
  <si>
    <t>Gutter</t>
  </si>
  <si>
    <t>ROCK WOOL &amp; PVC MESH</t>
  </si>
  <si>
    <t>SQ.M</t>
  </si>
  <si>
    <t>Sq.Vale</t>
  </si>
  <si>
    <t>Rockwool &amp; pvc mesh</t>
  </si>
  <si>
    <t>ROOFING SHEETS</t>
  </si>
  <si>
    <t>(26" width &amp; Length 4.451m)</t>
  </si>
  <si>
    <t>(26" width &amp; Length 4.299m)</t>
  </si>
  <si>
    <t>75mmx75mm Ridge</t>
  </si>
  <si>
    <t>75mmx75mm Wall plate</t>
  </si>
  <si>
    <t>Fascia Board (20x250mm)</t>
  </si>
  <si>
    <t>Ridge cap</t>
  </si>
  <si>
    <t>Ridge Flashing</t>
  </si>
  <si>
    <t>Side Flashing</t>
  </si>
  <si>
    <t>Lysaght Roofing (26" width &amp; Length 4.8m)</t>
  </si>
  <si>
    <t>TB1 &amp; TB2</t>
  </si>
  <si>
    <t>TB</t>
  </si>
  <si>
    <t>GRADE BEAMS</t>
  </si>
  <si>
    <t>GB</t>
  </si>
  <si>
    <t>B1,B2,B3,B4,B5</t>
  </si>
  <si>
    <t>B6</t>
  </si>
  <si>
    <t>155mm tk Slab</t>
  </si>
  <si>
    <t>B6 &amp; B7</t>
  </si>
  <si>
    <t>BRICK WORK</t>
  </si>
  <si>
    <t>150mm tk wall</t>
  </si>
  <si>
    <t>150mm outer wall (Beam Line)</t>
  </si>
  <si>
    <t>(From Tie beam to Roof Beam bottom)</t>
  </si>
  <si>
    <t>150mm outer wall (Slab Line)</t>
  </si>
  <si>
    <t>Masonry wall Length</t>
  </si>
  <si>
    <t>Total area</t>
  </si>
  <si>
    <t>Counts</t>
  </si>
  <si>
    <t>Outer</t>
  </si>
  <si>
    <t>W04</t>
  </si>
  <si>
    <t>W02</t>
  </si>
  <si>
    <t>D02</t>
  </si>
  <si>
    <t>Inner</t>
  </si>
  <si>
    <t>D03</t>
  </si>
  <si>
    <t>W01</t>
  </si>
  <si>
    <t>D01</t>
  </si>
  <si>
    <t>PD01</t>
  </si>
  <si>
    <t>SD01</t>
  </si>
  <si>
    <t>SD02</t>
  </si>
  <si>
    <t>Total Outer Area  =</t>
  </si>
  <si>
    <t>PLASTERING (OUTER)</t>
  </si>
  <si>
    <t>25mm tk Outer Plastering</t>
  </si>
  <si>
    <t>Outer Wall - Full</t>
  </si>
  <si>
    <t>From FFL to beam bottom</t>
  </si>
  <si>
    <t>Outer wal - 1.2M HT</t>
  </si>
  <si>
    <t>Plastering  wall Length</t>
  </si>
  <si>
    <t>Deduction (Outer)</t>
  </si>
  <si>
    <t>Outer (-)</t>
  </si>
  <si>
    <t>Inner (-)</t>
  </si>
  <si>
    <t>Side (+)</t>
  </si>
  <si>
    <t>PLASTERING (INNER)</t>
  </si>
  <si>
    <t>15mm tk Inner Plastering</t>
  </si>
  <si>
    <t>Internal Wall</t>
  </si>
  <si>
    <t>SCREEDING</t>
  </si>
  <si>
    <t>Floor Screeding</t>
  </si>
  <si>
    <t>Stair screeding</t>
  </si>
  <si>
    <t>Screeding area</t>
  </si>
  <si>
    <t>PAINTING</t>
  </si>
  <si>
    <t>External Paiting</t>
  </si>
  <si>
    <t>Internal Paiting</t>
  </si>
  <si>
    <t>Ceiling Paiting</t>
  </si>
  <si>
    <t>TILING</t>
  </si>
  <si>
    <t>GENERAL TILES</t>
  </si>
  <si>
    <t>sizes</t>
  </si>
  <si>
    <t>Skirting Length</t>
  </si>
  <si>
    <t>Skirt area</t>
  </si>
  <si>
    <t>Total</t>
  </si>
  <si>
    <t>General tiling</t>
  </si>
  <si>
    <t>600x600</t>
  </si>
  <si>
    <t>DETAILS</t>
  </si>
  <si>
    <t>AREA</t>
  </si>
  <si>
    <t>TOILET (FLOOR)</t>
  </si>
  <si>
    <t>Toilet Floor</t>
  </si>
  <si>
    <t>300x300</t>
  </si>
  <si>
    <t>TILING (WALL)</t>
  </si>
  <si>
    <t>Toilet Wall</t>
  </si>
  <si>
    <t>300x600</t>
  </si>
  <si>
    <t>Deduction: (-)</t>
  </si>
  <si>
    <t>TOILET WALL</t>
  </si>
  <si>
    <t xml:space="preserve">STAIR CASE </t>
  </si>
  <si>
    <t>Going (280x600mm)</t>
  </si>
  <si>
    <t>Riser (165x280mm)</t>
  </si>
  <si>
    <t>Skirting</t>
  </si>
  <si>
    <t>LIFT FACE</t>
  </si>
  <si>
    <t>Right wall</t>
  </si>
  <si>
    <t>Left wall</t>
  </si>
  <si>
    <t>Middle - Above door</t>
  </si>
  <si>
    <t xml:space="preserve">GYPSUM CEILING </t>
  </si>
  <si>
    <t>Gypsum ceiling</t>
  </si>
  <si>
    <t>(including paint finishes)</t>
  </si>
  <si>
    <t>TOILET FIXTURES</t>
  </si>
  <si>
    <t>Toilet-F</t>
  </si>
  <si>
    <t>Toilet-M</t>
  </si>
  <si>
    <t xml:space="preserve">Water Closet </t>
  </si>
  <si>
    <t>Urinal</t>
  </si>
  <si>
    <t>Washbasin</t>
  </si>
  <si>
    <t>Shower set</t>
  </si>
  <si>
    <t>Muslim Shower</t>
  </si>
  <si>
    <t>Faucet-Washbasin</t>
  </si>
  <si>
    <t>Tap</t>
  </si>
  <si>
    <t>Angle Valve</t>
  </si>
  <si>
    <t>Stop Valve</t>
  </si>
  <si>
    <t>Mirror set</t>
  </si>
  <si>
    <t>Bottle trap</t>
  </si>
  <si>
    <t>Counter Top</t>
  </si>
  <si>
    <t>Floor drain</t>
  </si>
  <si>
    <t xml:space="preserve">HAND RAILI </t>
  </si>
  <si>
    <t>Hand Rail</t>
  </si>
  <si>
    <t>RM</t>
  </si>
  <si>
    <t>RUNNING METER</t>
  </si>
  <si>
    <t>150mm - 2M wall</t>
  </si>
  <si>
    <t>W03</t>
  </si>
  <si>
    <t>W05</t>
  </si>
  <si>
    <t>PD02</t>
  </si>
  <si>
    <t>D04</t>
  </si>
  <si>
    <t xml:space="preserve">Outer wal - 2.0m </t>
  </si>
  <si>
    <t>Outer wal - 1.2M</t>
  </si>
  <si>
    <t>OUTDOOR TILES</t>
  </si>
  <si>
    <t>Bath-1</t>
  </si>
  <si>
    <t>Bath-2</t>
  </si>
  <si>
    <t>Bath-3</t>
  </si>
  <si>
    <t>Side Glass wall</t>
  </si>
  <si>
    <t>2ND-5TH FLOOR</t>
  </si>
  <si>
    <t>W06</t>
  </si>
  <si>
    <t>W07</t>
  </si>
  <si>
    <t>D05</t>
  </si>
  <si>
    <t>WEATHER PROOF TILES</t>
  </si>
  <si>
    <t>He</t>
  </si>
  <si>
    <t>She</t>
  </si>
  <si>
    <t>Laundry</t>
  </si>
  <si>
    <t>Kitchen</t>
  </si>
  <si>
    <t>Kitchen sink</t>
  </si>
  <si>
    <t>ROOF FLOOR</t>
  </si>
  <si>
    <t>Outer wall -1.2m</t>
  </si>
  <si>
    <t xml:space="preserve">TIE BEAM </t>
  </si>
  <si>
    <t xml:space="preserve">SEA SAND </t>
  </si>
  <si>
    <t>ITEM</t>
  </si>
  <si>
    <t>DIA OF BAR</t>
  </si>
  <si>
    <t>NO. OF BARS/RING</t>
  </si>
  <si>
    <t>LENGTH OF BARS</t>
  </si>
  <si>
    <t>BEND CO.efficient</t>
  </si>
  <si>
    <t>BEND LENGTH</t>
  </si>
  <si>
    <t>LAP LENGTH</t>
  </si>
  <si>
    <t>TOTAL LENGTH</t>
  </si>
  <si>
    <t>UNIT WEIGHT</t>
  </si>
  <si>
    <t>TOTAL WEIGHT</t>
  </si>
  <si>
    <t>ADDITIONAL</t>
  </si>
  <si>
    <t>LENGTH DETAILS</t>
  </si>
  <si>
    <t>Diameter</t>
  </si>
  <si>
    <t>Cover</t>
  </si>
  <si>
    <t>Ring Width</t>
  </si>
  <si>
    <t>Ring Depth</t>
  </si>
  <si>
    <t>Ring Perimeter (mm)</t>
  </si>
  <si>
    <t>Ring Perimeter (m)</t>
  </si>
  <si>
    <t>Total Length (m)</t>
  </si>
  <si>
    <t>Full</t>
  </si>
  <si>
    <t>T.BEAM</t>
  </si>
  <si>
    <t>Bar/Beam Length</t>
  </si>
  <si>
    <t>ok</t>
  </si>
  <si>
    <t>BEND</t>
  </si>
  <si>
    <t>x</t>
  </si>
  <si>
    <t>Bend</t>
  </si>
  <si>
    <t>Through out</t>
  </si>
  <si>
    <t>Mid Length</t>
  </si>
  <si>
    <t>No.of Rings</t>
  </si>
  <si>
    <t>Span</t>
  </si>
  <si>
    <t>Sup Length</t>
  </si>
  <si>
    <t>Mid</t>
  </si>
  <si>
    <t>Ring Space</t>
  </si>
  <si>
    <t>Span (Adjust)</t>
  </si>
  <si>
    <t>Beam size</t>
  </si>
  <si>
    <t>support</t>
  </si>
  <si>
    <t>Ring Length</t>
  </si>
  <si>
    <t>Sup</t>
  </si>
  <si>
    <t xml:space="preserve">Striupps </t>
  </si>
  <si>
    <t>Sup (Adjust)</t>
  </si>
  <si>
    <t>Striupps Spacing</t>
  </si>
  <si>
    <t>mid</t>
  </si>
  <si>
    <t>Beam</t>
  </si>
  <si>
    <t xml:space="preserve">Total </t>
  </si>
  <si>
    <t>Total (Kg)</t>
  </si>
  <si>
    <t>1ST-TERRACE FLOOR</t>
  </si>
  <si>
    <t>Type</t>
  </si>
  <si>
    <t>SUP</t>
  </si>
  <si>
    <t>SPAN</t>
  </si>
  <si>
    <t>BEAM</t>
  </si>
  <si>
    <t>B1</t>
  </si>
  <si>
    <t>1ST FLOOR BEAM</t>
  </si>
  <si>
    <t>No.of Rings (Sup)</t>
  </si>
  <si>
    <t>No.of Rings (mid)</t>
  </si>
  <si>
    <t>Space (Sup)</t>
  </si>
  <si>
    <t>Space (mid)</t>
  </si>
  <si>
    <t>Ring Length (m)</t>
  </si>
  <si>
    <t>No of Bars &amp; Dia</t>
  </si>
  <si>
    <t>B2</t>
  </si>
  <si>
    <t>B3</t>
  </si>
  <si>
    <t>B4</t>
  </si>
  <si>
    <t>B5</t>
  </si>
  <si>
    <t>LB1</t>
  </si>
  <si>
    <t>Corrected all the cells on 24 March 2024</t>
  </si>
  <si>
    <t xml:space="preserve">FOUNDATION </t>
  </si>
  <si>
    <t>Item</t>
  </si>
  <si>
    <t>Dia</t>
  </si>
  <si>
    <t>No of Bar</t>
  </si>
  <si>
    <t>Length &amp; Ring size</t>
  </si>
  <si>
    <t>Bar Length</t>
  </si>
  <si>
    <t>Lap Length</t>
  </si>
  <si>
    <t>Total Length</t>
  </si>
  <si>
    <t>Unit Weight</t>
  </si>
  <si>
    <t>Total Weight</t>
  </si>
  <si>
    <t>SIZE</t>
  </si>
  <si>
    <t>No. of Column</t>
  </si>
  <si>
    <t>No Of Column</t>
  </si>
  <si>
    <t>No of Striupps</t>
  </si>
  <si>
    <t>Total weight (Kg)</t>
  </si>
  <si>
    <t>Total   =</t>
  </si>
  <si>
    <t>C4</t>
  </si>
  <si>
    <t>FIRST -5TH FLOOR</t>
  </si>
  <si>
    <t>PC1</t>
  </si>
  <si>
    <t>LIFT REINFORCEMENT</t>
  </si>
  <si>
    <t>FOUNDATION FLOOR</t>
  </si>
  <si>
    <t>DES.</t>
  </si>
  <si>
    <t>DIA OF BARS</t>
  </si>
  <si>
    <t>BAR LENGTH</t>
  </si>
  <si>
    <t>LENGTH OF THE WALL (m)</t>
  </si>
  <si>
    <t xml:space="preserve"> SPACING (m)</t>
  </si>
  <si>
    <t>NO.OF BARS</t>
  </si>
  <si>
    <t>LAP LENGTH (m)</t>
  </si>
  <si>
    <t>TOTAL LENGTH  (m)</t>
  </si>
  <si>
    <t>UNIT WEIGHT (Kg)</t>
  </si>
  <si>
    <t>TOTAL WEIGHT (Kg)</t>
  </si>
  <si>
    <t>TOTAL (Kg)</t>
  </si>
  <si>
    <t>LIFT</t>
  </si>
  <si>
    <t>Vertical (Y)</t>
  </si>
  <si>
    <t>Horizontal (X)</t>
  </si>
  <si>
    <t>1ST-5TH FLOOR</t>
  </si>
  <si>
    <t>RC WALL REINFORCEMNT</t>
  </si>
  <si>
    <t>1ST - 5TH FLOOR</t>
  </si>
  <si>
    <t>RC WALL-0.60M</t>
  </si>
  <si>
    <t>RC WALL-1.20M</t>
  </si>
  <si>
    <t>RF LVL-1.20M</t>
  </si>
  <si>
    <t>RAFT SLAB</t>
  </si>
  <si>
    <t>TYPE</t>
  </si>
  <si>
    <t>AXIS</t>
  </si>
  <si>
    <t>LENGTH OF SLAB</t>
  </si>
  <si>
    <t>SPACING</t>
  </si>
  <si>
    <t>NO OF BARS</t>
  </si>
  <si>
    <t>ROUNDED NO OF BARS</t>
  </si>
  <si>
    <t>NO OF REPEAT</t>
  </si>
  <si>
    <t>Bottom</t>
  </si>
  <si>
    <t>1ST - TERRACE FLOOR SLAB</t>
  </si>
  <si>
    <t>WIDTH OF SLAB</t>
  </si>
  <si>
    <t>Top</t>
  </si>
  <si>
    <t>T1</t>
  </si>
  <si>
    <t>T2</t>
  </si>
  <si>
    <t>Distribution</t>
  </si>
  <si>
    <t>Deduction:</t>
  </si>
  <si>
    <t>Stair well (Big)</t>
  </si>
  <si>
    <t>Total Weight of Bars (Kg) =</t>
  </si>
  <si>
    <t>Voids deduction (Kg) =</t>
  </si>
  <si>
    <t>ROOF SLAB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</si>
</sst>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_-* #,##0.00_-;\-* #,##0.00_-;_-* &quot;-&quot;??_-;_-@_-"/>
    <numFmt numFmtId="165" formatCode="0.0"/>
    <numFmt numFmtId="166" formatCode="\(0\)"/>
    <numFmt numFmtId="167" formatCode="_(* #,##0.00_);_(* \(#,##0.00\);_(* \-??_);_(@_)"/>
    <numFmt numFmtId="168" formatCode="0.000"/>
    <numFmt numFmtId="169" formatCode="_(&quot;MRF&quot;* #,##0.00_);_(&quot;MRF&quot;* \(#,##0.00\);_(&quot;MRF&quot;* &quot;-&quot;??_);_(@_)"/>
  </numFmts>
  <fonts count="6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u/>
      <sz val="10"/>
      <name val="Arial"/>
      <family val="2"/>
    </font>
    <font>
      <i/>
      <u/>
      <sz val="10"/>
      <name val="Arial"/>
      <family val="2"/>
    </font>
    <font>
      <i/>
      <sz val="10"/>
      <name val="Arial"/>
      <family val="2"/>
    </font>
    <font>
      <sz val="10"/>
      <name val="Arial"/>
      <family val="2"/>
    </font>
    <font>
      <sz val="10"/>
      <name val="Verdana"/>
      <family val="2"/>
    </font>
    <font>
      <sz val="10"/>
      <name val="Arial"/>
      <family val="2"/>
    </font>
    <font>
      <sz val="11"/>
      <color theme="1"/>
      <name val="Calibri"/>
      <family val="2"/>
      <scheme val="minor"/>
    </font>
    <font>
      <sz val="12"/>
      <color theme="1"/>
      <name val="Calibri"/>
      <family val="2"/>
      <scheme val="minor"/>
    </font>
    <font>
      <b/>
      <sz val="12"/>
      <color rgb="FF3F3F3F"/>
      <name val="Calibri"/>
      <family val="2"/>
      <scheme val="minor"/>
    </font>
    <font>
      <b/>
      <sz val="8"/>
      <name val="Arial"/>
      <family val="2"/>
    </font>
    <font>
      <sz val="11"/>
      <color indexed="8"/>
      <name val="Calibri"/>
      <family val="2"/>
    </font>
    <font>
      <sz val="11"/>
      <name val="‚l‚r ƒSƒVƒbƒN"/>
      <charset val="128"/>
    </font>
    <font>
      <sz val="12"/>
      <name val="Times New Roman"/>
      <family val="1"/>
    </font>
    <font>
      <b/>
      <sz val="11"/>
      <color theme="1"/>
      <name val="Calibri"/>
      <family val="2"/>
      <scheme val="minor"/>
    </font>
    <font>
      <b/>
      <u/>
      <sz val="11"/>
      <color theme="1"/>
      <name val="Calibri"/>
      <family val="2"/>
      <scheme val="minor"/>
    </font>
    <font>
      <sz val="9"/>
      <name val="Arial"/>
      <family val="2"/>
    </font>
    <font>
      <sz val="8"/>
      <name val="Arial"/>
      <family val="2"/>
    </font>
    <font>
      <b/>
      <sz val="11"/>
      <name val="Arial"/>
      <family val="2"/>
    </font>
    <font>
      <b/>
      <sz val="14"/>
      <name val="Arial"/>
      <family val="2"/>
    </font>
    <font>
      <b/>
      <u/>
      <sz val="8"/>
      <name val="Arial"/>
      <family val="2"/>
    </font>
    <font>
      <b/>
      <sz val="7"/>
      <name val="Arial"/>
      <family val="2"/>
    </font>
    <font>
      <b/>
      <u val="singleAccounting"/>
      <sz val="8"/>
      <name val="Arial"/>
      <family val="2"/>
    </font>
    <font>
      <sz val="10"/>
      <color theme="1"/>
      <name val="Arial"/>
      <family val="2"/>
    </font>
    <font>
      <b/>
      <sz val="11"/>
      <name val="Calibri"/>
      <family val="2"/>
      <scheme val="minor"/>
    </font>
    <font>
      <b/>
      <u/>
      <sz val="11"/>
      <name val="Calibri"/>
      <family val="2"/>
      <scheme val="minor"/>
    </font>
    <font>
      <sz val="11"/>
      <color rgb="FFFF0000"/>
      <name val="Calibri"/>
      <family val="2"/>
      <scheme val="minor"/>
    </font>
    <font>
      <b/>
      <u val="singleAccounting"/>
      <sz val="10"/>
      <name val="Arial"/>
      <family val="2"/>
    </font>
    <font>
      <b/>
      <u/>
      <sz val="10"/>
      <color theme="1"/>
      <name val="Calibri"/>
      <family val="2"/>
      <scheme val="minor"/>
    </font>
    <font>
      <sz val="10"/>
      <color theme="1"/>
      <name val="Calibri"/>
      <family val="2"/>
      <scheme val="minor"/>
    </font>
    <font>
      <b/>
      <sz val="10"/>
      <color theme="1"/>
      <name val="Calibri"/>
      <family val="2"/>
      <scheme val="minor"/>
    </font>
    <font>
      <b/>
      <u/>
      <sz val="14"/>
      <name val="Times New Roman"/>
      <family val="1"/>
    </font>
    <font>
      <sz val="9"/>
      <name val="Times New Roman"/>
      <family val="1"/>
    </font>
    <font>
      <b/>
      <sz val="14"/>
      <name val="Times New Roman"/>
      <family val="1"/>
    </font>
    <font>
      <b/>
      <sz val="11"/>
      <name val="Times New Roman"/>
      <family val="1"/>
    </font>
    <font>
      <b/>
      <sz val="12"/>
      <name val="Times New Roman"/>
      <family val="1"/>
    </font>
    <font>
      <sz val="10"/>
      <name val="Times New Roman"/>
      <family val="1"/>
    </font>
    <font>
      <b/>
      <sz val="10"/>
      <name val="Times New Roman"/>
      <family val="1"/>
    </font>
    <font>
      <b/>
      <sz val="18"/>
      <name val="Times New Roman"/>
      <family val="1"/>
    </font>
    <font>
      <sz val="14"/>
      <name val="Times New Roman"/>
      <family val="1"/>
    </font>
    <font>
      <b/>
      <u/>
      <sz val="12"/>
      <name val="Times New Roman"/>
      <family val="1"/>
    </font>
    <font>
      <sz val="10"/>
      <color rgb="FFFF0000"/>
      <name val="Arial"/>
      <family val="2"/>
    </font>
    <font>
      <b/>
      <sz val="11"/>
      <color theme="0"/>
      <name val="Calibri"/>
      <family val="2"/>
      <scheme val="minor"/>
    </font>
    <font>
      <b/>
      <u/>
      <sz val="11"/>
      <color theme="0"/>
      <name val="Calibri"/>
      <family val="2"/>
      <scheme val="minor"/>
    </font>
    <font>
      <b/>
      <sz val="10"/>
      <color theme="0"/>
      <name val="Arial"/>
      <family val="2"/>
    </font>
    <font>
      <sz val="10"/>
      <color theme="0"/>
      <name val="Arial"/>
      <family val="2"/>
    </font>
    <font>
      <sz val="8"/>
      <name val="Arial"/>
    </font>
    <font>
      <b/>
      <sz val="26"/>
      <name val="Times New Roman"/>
      <family val="1"/>
    </font>
    <font>
      <b/>
      <sz val="16"/>
      <name val="Times New Roman"/>
      <family val="1"/>
    </font>
    <font>
      <b/>
      <sz val="10"/>
      <color rgb="FFFF0000"/>
      <name val="Arial"/>
      <family val="2"/>
    </font>
    <font>
      <b/>
      <sz val="10"/>
      <name val="Arial Narrow"/>
      <family val="2"/>
    </font>
    <font>
      <sz val="10"/>
      <name val="Arial Narrow"/>
      <family val="2"/>
    </font>
    <font>
      <b/>
      <sz val="10"/>
      <color rgb="FFFF0000"/>
      <name val="Arial Narrow"/>
      <family val="2"/>
    </font>
    <font>
      <sz val="10"/>
      <color rgb="FF000000"/>
      <name val="Arial Narrow"/>
      <charset val="1"/>
    </font>
    <font>
      <b/>
      <sz val="10.5"/>
      <name val="Arial"/>
      <family val="2"/>
    </font>
  </fonts>
  <fills count="18">
    <fill>
      <patternFill patternType="none"/>
    </fill>
    <fill>
      <patternFill patternType="gray125"/>
    </fill>
    <fill>
      <patternFill patternType="solid">
        <fgColor rgb="FFF2F2F2"/>
      </patternFill>
    </fill>
    <fill>
      <patternFill patternType="solid">
        <fgColor indexed="9"/>
        <bgColor indexed="26"/>
      </patternFill>
    </fill>
    <fill>
      <patternFill patternType="solid">
        <fgColor theme="0"/>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FFFF00"/>
        <bgColor indexed="64"/>
      </patternFill>
    </fill>
    <fill>
      <patternFill patternType="solid">
        <fgColor theme="6" tint="-0.249977111117893"/>
        <bgColor indexed="64"/>
      </patternFill>
    </fill>
    <fill>
      <patternFill patternType="solid">
        <fgColor theme="8" tint="0.39997558519241921"/>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8" tint="0.79998168889431442"/>
        <bgColor indexed="64"/>
      </patternFill>
    </fill>
    <fill>
      <patternFill patternType="solid">
        <fgColor indexed="9"/>
        <bgColor indexed="64"/>
      </patternFill>
    </fill>
    <fill>
      <patternFill patternType="solid">
        <fgColor rgb="FFFF0000"/>
        <bgColor indexed="64"/>
      </patternFill>
    </fill>
    <fill>
      <patternFill patternType="solid">
        <fgColor indexed="22"/>
        <bgColor indexed="64"/>
      </patternFill>
    </fill>
  </fills>
  <borders count="75">
    <border>
      <left/>
      <right/>
      <top/>
      <bottom/>
      <diagonal/>
    </border>
    <border>
      <left style="thin">
        <color indexed="64"/>
      </left>
      <right style="thin">
        <color indexed="64"/>
      </right>
      <top/>
      <bottom style="thin">
        <color indexed="64"/>
      </bottom>
      <diagonal/>
    </border>
    <border>
      <left/>
      <right style="hair">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3F3F3F"/>
      </left>
      <right style="thin">
        <color rgb="FF3F3F3F"/>
      </right>
      <top style="thin">
        <color rgb="FF3F3F3F"/>
      </top>
      <bottom style="thin">
        <color rgb="FF3F3F3F"/>
      </bottom>
      <diagonal/>
    </border>
    <border>
      <left style="hair">
        <color auto="1"/>
      </left>
      <right style="hair">
        <color auto="1"/>
      </right>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auto="1"/>
      </left>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138">
    <xf numFmtId="0" fontId="0" fillId="0" borderId="0"/>
    <xf numFmtId="43" fontId="4" fillId="0" borderId="0" applyFont="0" applyFill="0" applyBorder="0" applyAlignment="0" applyProtection="0"/>
    <xf numFmtId="43" fontId="10" fillId="0" borderId="0" applyFont="0" applyFill="0" applyBorder="0" applyAlignment="0" applyProtection="0"/>
    <xf numFmtId="164" fontId="10" fillId="0" borderId="0" applyFont="0" applyFill="0" applyBorder="0" applyAlignment="0" applyProtection="0"/>
    <xf numFmtId="43" fontId="14" fillId="0" borderId="0" applyFont="0" applyFill="0" applyBorder="0" applyAlignment="0" applyProtection="0"/>
    <xf numFmtId="43" fontId="11" fillId="0" borderId="0" applyFont="0" applyFill="0" applyBorder="0" applyAlignment="0" applyProtection="0"/>
    <xf numFmtId="164" fontId="10" fillId="0" borderId="0" applyFont="0" applyFill="0" applyBorder="0" applyAlignment="0" applyProtection="0"/>
    <xf numFmtId="164" fontId="6" fillId="0" borderId="0" applyFont="0" applyFill="0" applyBorder="0" applyAlignment="0" applyProtection="0"/>
    <xf numFmtId="43" fontId="13" fillId="0" borderId="0" applyFont="0" applyFill="0" applyBorder="0" applyAlignment="0" applyProtection="0"/>
    <xf numFmtId="164" fontId="12" fillId="0" borderId="0" applyFont="0" applyFill="0" applyBorder="0" applyAlignment="0" applyProtection="0"/>
    <xf numFmtId="44" fontId="10" fillId="0" borderId="0" applyFont="0" applyFill="0" applyBorder="0" applyAlignment="0" applyProtection="0"/>
    <xf numFmtId="0" fontId="10" fillId="0" borderId="0"/>
    <xf numFmtId="0" fontId="13" fillId="0" borderId="0"/>
    <xf numFmtId="0" fontId="13" fillId="0" borderId="0"/>
    <xf numFmtId="0" fontId="13" fillId="0" borderId="0"/>
    <xf numFmtId="0" fontId="13" fillId="0" borderId="0"/>
    <xf numFmtId="0" fontId="13" fillId="0" borderId="0"/>
    <xf numFmtId="0" fontId="13" fillId="0" borderId="0"/>
    <xf numFmtId="0" fontId="6" fillId="0" borderId="0"/>
    <xf numFmtId="0" fontId="14" fillId="0" borderId="0"/>
    <xf numFmtId="0" fontId="10" fillId="0" borderId="0"/>
    <xf numFmtId="0" fontId="10" fillId="0" borderId="0"/>
    <xf numFmtId="0" fontId="10" fillId="0" borderId="0"/>
    <xf numFmtId="0" fontId="10" fillId="0" borderId="0"/>
    <xf numFmtId="0" fontId="11" fillId="0" borderId="0"/>
    <xf numFmtId="0" fontId="15" fillId="2" borderId="6" applyNumberFormat="0" applyAlignment="0" applyProtection="0"/>
    <xf numFmtId="9" fontId="10" fillId="0" borderId="0" applyFont="0" applyFill="0" applyBorder="0" applyAlignment="0" applyProtection="0"/>
    <xf numFmtId="43" fontId="4" fillId="0" borderId="0" applyFont="0" applyFill="0" applyBorder="0" applyAlignment="0" applyProtection="0"/>
    <xf numFmtId="0" fontId="4" fillId="0" borderId="0"/>
    <xf numFmtId="167" fontId="4" fillId="0" borderId="0" applyFill="0" applyBorder="0" applyAlignment="0" applyProtection="0"/>
    <xf numFmtId="167" fontId="17" fillId="0" borderId="0" applyFill="0" applyBorder="0" applyAlignment="0" applyProtection="0"/>
    <xf numFmtId="0" fontId="18" fillId="0" borderId="0"/>
    <xf numFmtId="167" fontId="17" fillId="0" borderId="0" applyFill="0" applyBorder="0" applyAlignment="0" applyProtection="0"/>
    <xf numFmtId="167" fontId="4" fillId="0" borderId="0" applyFill="0" applyBorder="0" applyAlignment="0" applyProtection="0"/>
    <xf numFmtId="0" fontId="3" fillId="0" borderId="0"/>
    <xf numFmtId="0" fontId="18" fillId="0" borderId="0"/>
    <xf numFmtId="43" fontId="3" fillId="0" borderId="0" applyFont="0" applyFill="0" applyBorder="0" applyAlignment="0" applyProtection="0"/>
    <xf numFmtId="0" fontId="4" fillId="0" borderId="0"/>
    <xf numFmtId="43" fontId="2" fillId="0" borderId="0" applyFont="0" applyFill="0" applyBorder="0" applyAlignment="0" applyProtection="0"/>
    <xf numFmtId="44"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 fillId="0" borderId="0"/>
    <xf numFmtId="164" fontId="2" fillId="0" borderId="0" applyFont="0" applyFill="0" applyBorder="0" applyAlignment="0" applyProtection="0"/>
    <xf numFmtId="9" fontId="2"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16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40" fontId="23" fillId="0" borderId="0" applyFont="0" applyFill="0" applyBorder="0" applyAlignment="0" applyProtection="0"/>
    <xf numFmtId="43" fontId="4" fillId="0" borderId="0" applyFont="0" applyFill="0" applyBorder="0" applyAlignment="0" applyProtection="0"/>
    <xf numFmtId="40" fontId="23" fillId="0" borderId="0" applyFont="0" applyFill="0" applyBorder="0" applyAlignment="0" applyProtection="0"/>
    <xf numFmtId="0" fontId="23" fillId="0" borderId="0"/>
    <xf numFmtId="0" fontId="2" fillId="0" borderId="0"/>
    <xf numFmtId="164"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cellStyleXfs>
  <cellXfs count="1037">
    <xf numFmtId="0" fontId="0" fillId="0" borderId="0" xfId="0"/>
    <xf numFmtId="0" fontId="6" fillId="0" borderId="0" xfId="0" applyFont="1"/>
    <xf numFmtId="0" fontId="4" fillId="0" borderId="0" xfId="0" applyFont="1"/>
    <xf numFmtId="0" fontId="6" fillId="4" borderId="0" xfId="0" applyFont="1" applyFill="1"/>
    <xf numFmtId="43" fontId="6" fillId="0" borderId="0" xfId="0" applyNumberFormat="1" applyFont="1" applyAlignment="1">
      <alignment horizontal="center" vertical="center"/>
    </xf>
    <xf numFmtId="0" fontId="6" fillId="0" borderId="0" xfId="0" applyFont="1" applyAlignment="1">
      <alignment horizontal="right" vertical="top"/>
    </xf>
    <xf numFmtId="0" fontId="6" fillId="0" borderId="0" xfId="0" applyFont="1" applyAlignment="1">
      <alignment vertical="center" wrapText="1"/>
    </xf>
    <xf numFmtId="43" fontId="6" fillId="0" borderId="0" xfId="0" applyNumberFormat="1" applyFont="1" applyAlignment="1" applyProtection="1">
      <alignment horizontal="right"/>
      <protection locked="0" hidden="1"/>
    </xf>
    <xf numFmtId="0" fontId="0" fillId="4" borderId="0" xfId="0" applyFill="1"/>
    <xf numFmtId="168" fontId="4" fillId="0" borderId="0" xfId="0" applyNumberFormat="1" applyFont="1"/>
    <xf numFmtId="0" fontId="0" fillId="4" borderId="0" xfId="0" applyFill="1" applyAlignment="1">
      <alignment horizontal="center"/>
    </xf>
    <xf numFmtId="0" fontId="9" fillId="7" borderId="3" xfId="0" applyFont="1" applyFill="1" applyBorder="1" applyAlignment="1">
      <alignment vertical="center"/>
    </xf>
    <xf numFmtId="0" fontId="9" fillId="7" borderId="3" xfId="0" applyFont="1" applyFill="1" applyBorder="1" applyAlignment="1">
      <alignment horizontal="center" vertical="center"/>
    </xf>
    <xf numFmtId="43" fontId="5" fillId="7" borderId="5" xfId="0" applyNumberFormat="1" applyFont="1" applyFill="1" applyBorder="1" applyProtection="1">
      <protection locked="0" hidden="1"/>
    </xf>
    <xf numFmtId="43" fontId="5" fillId="7" borderId="5" xfId="1" applyFont="1" applyFill="1" applyBorder="1" applyAlignment="1">
      <alignment horizontal="left"/>
    </xf>
    <xf numFmtId="2" fontId="23" fillId="4" borderId="0" xfId="0" applyNumberFormat="1" applyFont="1" applyFill="1" applyAlignment="1">
      <alignment horizontal="center"/>
    </xf>
    <xf numFmtId="0" fontId="23" fillId="4" borderId="0" xfId="0" applyFont="1" applyFill="1" applyAlignment="1">
      <alignment horizontal="center"/>
    </xf>
    <xf numFmtId="168" fontId="23" fillId="4" borderId="0" xfId="0" applyNumberFormat="1" applyFont="1" applyFill="1" applyAlignment="1">
      <alignment horizontal="center"/>
    </xf>
    <xf numFmtId="0" fontId="4" fillId="4" borderId="0" xfId="0" applyFont="1" applyFill="1" applyAlignment="1">
      <alignment horizontal="center"/>
    </xf>
    <xf numFmtId="0" fontId="0" fillId="4" borderId="0" xfId="0" applyFill="1" applyAlignment="1">
      <alignment horizontal="center" vertical="center"/>
    </xf>
    <xf numFmtId="4" fontId="0" fillId="4" borderId="0" xfId="0" applyNumberFormat="1" applyFill="1"/>
    <xf numFmtId="0" fontId="23" fillId="0" borderId="0" xfId="0" applyFont="1"/>
    <xf numFmtId="0" fontId="23" fillId="0" borderId="0" xfId="0" applyFont="1" applyAlignment="1">
      <alignment horizontal="center" vertical="center" wrapText="1"/>
    </xf>
    <xf numFmtId="0" fontId="16" fillId="4" borderId="0" xfId="0" applyFont="1" applyFill="1"/>
    <xf numFmtId="0" fontId="23" fillId="4" borderId="0" xfId="0" applyFont="1" applyFill="1"/>
    <xf numFmtId="0" fontId="23" fillId="0" borderId="0" xfId="0" applyFont="1" applyAlignment="1">
      <alignment horizontal="center"/>
    </xf>
    <xf numFmtId="43" fontId="23" fillId="12" borderId="0" xfId="0" applyNumberFormat="1" applyFont="1" applyFill="1" applyAlignment="1">
      <alignment horizontal="center"/>
    </xf>
    <xf numFmtId="43" fontId="23" fillId="12" borderId="8" xfId="0" applyNumberFormat="1" applyFont="1" applyFill="1" applyBorder="1" applyAlignment="1">
      <alignment horizontal="center"/>
    </xf>
    <xf numFmtId="43" fontId="23" fillId="10" borderId="0" xfId="0" applyNumberFormat="1" applyFont="1" applyFill="1" applyAlignment="1">
      <alignment horizontal="center"/>
    </xf>
    <xf numFmtId="43" fontId="23" fillId="12" borderId="0" xfId="0" applyNumberFormat="1" applyFont="1" applyFill="1" applyAlignment="1">
      <alignment horizontal="center" vertical="center"/>
    </xf>
    <xf numFmtId="43" fontId="23" fillId="10" borderId="0" xfId="0" applyNumberFormat="1" applyFont="1" applyFill="1" applyAlignment="1">
      <alignment horizontal="center" vertical="center"/>
    </xf>
    <xf numFmtId="43" fontId="23" fillId="10" borderId="3" xfId="0" applyNumberFormat="1" applyFont="1" applyFill="1" applyBorder="1" applyAlignment="1">
      <alignment horizontal="center"/>
    </xf>
    <xf numFmtId="43" fontId="23" fillId="12" borderId="3" xfId="0" applyNumberFormat="1" applyFont="1" applyFill="1" applyBorder="1" applyAlignment="1">
      <alignment horizontal="center"/>
    </xf>
    <xf numFmtId="43" fontId="23" fillId="10" borderId="3" xfId="0" applyNumberFormat="1" applyFont="1" applyFill="1" applyBorder="1" applyAlignment="1">
      <alignment horizontal="center" vertical="center"/>
    </xf>
    <xf numFmtId="43" fontId="23" fillId="12" borderId="5" xfId="0" applyNumberFormat="1" applyFont="1" applyFill="1" applyBorder="1" applyAlignment="1">
      <alignment horizontal="center"/>
    </xf>
    <xf numFmtId="43" fontId="23" fillId="4" borderId="0" xfId="0" applyNumberFormat="1" applyFont="1" applyFill="1"/>
    <xf numFmtId="43" fontId="23" fillId="4" borderId="0" xfId="0" applyNumberFormat="1" applyFont="1" applyFill="1" applyAlignment="1">
      <alignment horizontal="center"/>
    </xf>
    <xf numFmtId="43" fontId="23" fillId="4" borderId="0" xfId="0" applyNumberFormat="1" applyFont="1" applyFill="1" applyAlignment="1">
      <alignment horizontal="center" vertical="center"/>
    </xf>
    <xf numFmtId="43" fontId="16" fillId="4" borderId="0" xfId="0" applyNumberFormat="1" applyFont="1" applyFill="1"/>
    <xf numFmtId="43" fontId="23" fillId="8" borderId="0" xfId="0" applyNumberFormat="1" applyFont="1" applyFill="1"/>
    <xf numFmtId="43" fontId="23" fillId="8" borderId="0" xfId="0" applyNumberFormat="1" applyFont="1" applyFill="1" applyAlignment="1">
      <alignment horizontal="center"/>
    </xf>
    <xf numFmtId="43" fontId="23" fillId="8" borderId="0" xfId="0" applyNumberFormat="1" applyFont="1" applyFill="1" applyAlignment="1">
      <alignment horizontal="center" vertical="center"/>
    </xf>
    <xf numFmtId="43" fontId="23" fillId="12" borderId="0" xfId="0" applyNumberFormat="1" applyFont="1" applyFill="1"/>
    <xf numFmtId="43" fontId="23" fillId="12" borderId="3" xfId="0" applyNumberFormat="1" applyFont="1" applyFill="1" applyBorder="1"/>
    <xf numFmtId="0" fontId="23" fillId="10" borderId="13" xfId="0" applyFont="1" applyFill="1" applyBorder="1"/>
    <xf numFmtId="43" fontId="16" fillId="12" borderId="4" xfId="0" applyNumberFormat="1" applyFont="1" applyFill="1" applyBorder="1"/>
    <xf numFmtId="43" fontId="23" fillId="10" borderId="0" xfId="0" applyNumberFormat="1" applyFont="1" applyFill="1"/>
    <xf numFmtId="43" fontId="16" fillId="10" borderId="8" xfId="0" applyNumberFormat="1" applyFont="1" applyFill="1" applyBorder="1"/>
    <xf numFmtId="2" fontId="23" fillId="5" borderId="4" xfId="0" applyNumberFormat="1" applyFont="1" applyFill="1" applyBorder="1"/>
    <xf numFmtId="43" fontId="23" fillId="7" borderId="0" xfId="0" applyNumberFormat="1" applyFont="1" applyFill="1"/>
    <xf numFmtId="168" fontId="23" fillId="4" borderId="0" xfId="0" applyNumberFormat="1" applyFont="1" applyFill="1"/>
    <xf numFmtId="168" fontId="23" fillId="10" borderId="15" xfId="0" applyNumberFormat="1" applyFont="1" applyFill="1" applyBorder="1"/>
    <xf numFmtId="168" fontId="23" fillId="0" borderId="0" xfId="0" applyNumberFormat="1" applyFont="1"/>
    <xf numFmtId="43" fontId="16" fillId="10" borderId="1" xfId="0" applyNumberFormat="1" applyFont="1" applyFill="1" applyBorder="1" applyAlignment="1">
      <alignment vertical="center"/>
    </xf>
    <xf numFmtId="0" fontId="23" fillId="9" borderId="16" xfId="0" applyFont="1" applyFill="1" applyBorder="1"/>
    <xf numFmtId="168" fontId="23" fillId="9" borderId="17" xfId="0" applyNumberFormat="1" applyFont="1" applyFill="1" applyBorder="1"/>
    <xf numFmtId="0" fontId="0" fillId="4" borderId="0" xfId="0" applyFill="1" applyAlignment="1">
      <alignment vertical="center"/>
    </xf>
    <xf numFmtId="0" fontId="4" fillId="4" borderId="0" xfId="0" applyFont="1" applyFill="1" applyAlignment="1">
      <alignment horizontal="center" vertical="center"/>
    </xf>
    <xf numFmtId="4" fontId="0" fillId="4" borderId="0" xfId="0" applyNumberFormat="1" applyFill="1" applyAlignment="1">
      <alignment vertical="center"/>
    </xf>
    <xf numFmtId="0" fontId="21" fillId="4" borderId="0" xfId="0" applyFont="1" applyFill="1"/>
    <xf numFmtId="0" fontId="20" fillId="4" borderId="0" xfId="0" applyFont="1" applyFill="1"/>
    <xf numFmtId="0" fontId="0" fillId="4" borderId="37" xfId="0" applyFill="1" applyBorder="1"/>
    <xf numFmtId="0" fontId="20" fillId="4" borderId="38" xfId="0" applyFont="1" applyFill="1" applyBorder="1" applyAlignment="1">
      <alignment horizontal="center"/>
    </xf>
    <xf numFmtId="0" fontId="0" fillId="4" borderId="38" xfId="0" applyFill="1" applyBorder="1"/>
    <xf numFmtId="0" fontId="0" fillId="4" borderId="38" xfId="0" applyFill="1" applyBorder="1" applyAlignment="1">
      <alignment horizontal="center"/>
    </xf>
    <xf numFmtId="0" fontId="0" fillId="4" borderId="39" xfId="0" applyFill="1" applyBorder="1"/>
    <xf numFmtId="0" fontId="4" fillId="4" borderId="37" xfId="0" applyFont="1" applyFill="1" applyBorder="1" applyAlignment="1">
      <alignment horizontal="center"/>
    </xf>
    <xf numFmtId="0" fontId="4" fillId="4" borderId="38" xfId="0" applyFont="1" applyFill="1" applyBorder="1" applyAlignment="1">
      <alignment wrapText="1"/>
    </xf>
    <xf numFmtId="0" fontId="4" fillId="4" borderId="38" xfId="0" applyFont="1" applyFill="1" applyBorder="1"/>
    <xf numFmtId="0" fontId="0" fillId="4" borderId="48" xfId="0" applyFill="1" applyBorder="1"/>
    <xf numFmtId="0" fontId="0" fillId="4" borderId="49" xfId="0" applyFill="1" applyBorder="1"/>
    <xf numFmtId="0" fontId="4" fillId="4" borderId="39" xfId="0" applyFont="1" applyFill="1" applyBorder="1"/>
    <xf numFmtId="43" fontId="4" fillId="4" borderId="38" xfId="0" applyNumberFormat="1" applyFont="1" applyFill="1" applyBorder="1"/>
    <xf numFmtId="43" fontId="0" fillId="4" borderId="38" xfId="0" applyNumberFormat="1" applyFill="1" applyBorder="1" applyAlignment="1">
      <alignment horizontal="center"/>
    </xf>
    <xf numFmtId="43" fontId="0" fillId="4" borderId="44" xfId="0" applyNumberFormat="1" applyFill="1" applyBorder="1"/>
    <xf numFmtId="43" fontId="0" fillId="4" borderId="0" xfId="0" applyNumberFormat="1" applyFill="1"/>
    <xf numFmtId="43" fontId="4" fillId="4" borderId="39" xfId="0" applyNumberFormat="1" applyFont="1" applyFill="1" applyBorder="1"/>
    <xf numFmtId="43" fontId="20" fillId="13" borderId="32" xfId="0" applyNumberFormat="1" applyFont="1" applyFill="1" applyBorder="1"/>
    <xf numFmtId="43" fontId="0" fillId="4" borderId="38" xfId="0" applyNumberFormat="1" applyFill="1" applyBorder="1"/>
    <xf numFmtId="43" fontId="20" fillId="4" borderId="38" xfId="0" applyNumberFormat="1" applyFont="1" applyFill="1" applyBorder="1"/>
    <xf numFmtId="43" fontId="0" fillId="4" borderId="39" xfId="0" applyNumberFormat="1" applyFill="1" applyBorder="1"/>
    <xf numFmtId="43" fontId="20" fillId="4" borderId="39" xfId="0" applyNumberFormat="1" applyFont="1" applyFill="1" applyBorder="1"/>
    <xf numFmtId="43" fontId="0" fillId="4" borderId="37" xfId="0" applyNumberFormat="1" applyFill="1" applyBorder="1"/>
    <xf numFmtId="0" fontId="5" fillId="13" borderId="49" xfId="0" applyFont="1" applyFill="1" applyBorder="1"/>
    <xf numFmtId="0" fontId="4" fillId="4" borderId="37" xfId="0" applyFont="1" applyFill="1" applyBorder="1"/>
    <xf numFmtId="0" fontId="4" fillId="4" borderId="38" xfId="0" applyFont="1" applyFill="1" applyBorder="1" applyAlignment="1">
      <alignment horizontal="center"/>
    </xf>
    <xf numFmtId="0" fontId="5" fillId="13" borderId="35" xfId="0" applyFont="1" applyFill="1" applyBorder="1" applyAlignment="1">
      <alignment horizontal="center"/>
    </xf>
    <xf numFmtId="0" fontId="5" fillId="13" borderId="36" xfId="0" applyFont="1" applyFill="1" applyBorder="1"/>
    <xf numFmtId="43" fontId="20" fillId="4" borderId="37" xfId="0" applyNumberFormat="1" applyFont="1" applyFill="1" applyBorder="1"/>
    <xf numFmtId="0" fontId="4" fillId="4" borderId="39" xfId="0" applyFont="1" applyFill="1" applyBorder="1" applyAlignment="1">
      <alignment horizontal="center"/>
    </xf>
    <xf numFmtId="43" fontId="5" fillId="13" borderId="35" xfId="0" applyNumberFormat="1" applyFont="1" applyFill="1" applyBorder="1" applyAlignment="1">
      <alignment horizontal="center"/>
    </xf>
    <xf numFmtId="43" fontId="0" fillId="4" borderId="30" xfId="0" applyNumberFormat="1" applyFill="1" applyBorder="1" applyAlignment="1">
      <alignment vertical="center"/>
    </xf>
    <xf numFmtId="43" fontId="20" fillId="13" borderId="41" xfId="0" applyNumberFormat="1" applyFont="1" applyFill="1" applyBorder="1"/>
    <xf numFmtId="43" fontId="20" fillId="13" borderId="38" xfId="0" applyNumberFormat="1" applyFont="1" applyFill="1" applyBorder="1"/>
    <xf numFmtId="43" fontId="21" fillId="5" borderId="45" xfId="0" applyNumberFormat="1" applyFont="1" applyFill="1" applyBorder="1"/>
    <xf numFmtId="43" fontId="20" fillId="13" borderId="51" xfId="0" applyNumberFormat="1" applyFont="1" applyFill="1" applyBorder="1" applyAlignment="1">
      <alignment horizontal="center"/>
    </xf>
    <xf numFmtId="43" fontId="0" fillId="4" borderId="8" xfId="0" applyNumberFormat="1" applyFill="1" applyBorder="1"/>
    <xf numFmtId="43" fontId="20" fillId="4" borderId="55" xfId="0" applyNumberFormat="1" applyFont="1" applyFill="1" applyBorder="1"/>
    <xf numFmtId="43" fontId="20" fillId="4" borderId="56" xfId="0" applyNumberFormat="1" applyFont="1" applyFill="1" applyBorder="1" applyAlignment="1">
      <alignment horizontal="center"/>
    </xf>
    <xf numFmtId="43" fontId="20" fillId="4" borderId="0" xfId="0" applyNumberFormat="1" applyFont="1" applyFill="1" applyAlignment="1">
      <alignment horizontal="center"/>
    </xf>
    <xf numFmtId="43" fontId="0" fillId="4" borderId="28" xfId="0" applyNumberFormat="1" applyFill="1" applyBorder="1"/>
    <xf numFmtId="43" fontId="5" fillId="4" borderId="0" xfId="0" applyNumberFormat="1" applyFont="1" applyFill="1"/>
    <xf numFmtId="43" fontId="20" fillId="4" borderId="0" xfId="0" applyNumberFormat="1" applyFont="1" applyFill="1"/>
    <xf numFmtId="43" fontId="4" fillId="4" borderId="28" xfId="0" applyNumberFormat="1" applyFont="1" applyFill="1" applyBorder="1" applyAlignment="1">
      <alignment horizontal="left"/>
    </xf>
    <xf numFmtId="43" fontId="5" fillId="4" borderId="26" xfId="0" applyNumberFormat="1" applyFont="1" applyFill="1" applyBorder="1"/>
    <xf numFmtId="43" fontId="0" fillId="4" borderId="0" xfId="0" applyNumberFormat="1" applyFill="1" applyAlignment="1">
      <alignment horizontal="center"/>
    </xf>
    <xf numFmtId="43" fontId="0" fillId="4" borderId="0" xfId="0" applyNumberFormat="1" applyFill="1" applyAlignment="1">
      <alignment horizontal="left"/>
    </xf>
    <xf numFmtId="43" fontId="0" fillId="5" borderId="40" xfId="0" applyNumberFormat="1" applyFill="1" applyBorder="1" applyAlignment="1">
      <alignment horizontal="center"/>
    </xf>
    <xf numFmtId="43" fontId="4" fillId="5" borderId="41" xfId="0" applyNumberFormat="1" applyFont="1" applyFill="1" applyBorder="1" applyAlignment="1">
      <alignment horizontal="center"/>
    </xf>
    <xf numFmtId="43" fontId="0" fillId="5" borderId="41" xfId="0" applyNumberFormat="1" applyFill="1" applyBorder="1" applyAlignment="1">
      <alignment horizontal="center"/>
    </xf>
    <xf numFmtId="43" fontId="0" fillId="5" borderId="42" xfId="0" applyNumberFormat="1" applyFill="1" applyBorder="1" applyAlignment="1">
      <alignment horizontal="center"/>
    </xf>
    <xf numFmtId="43" fontId="5" fillId="13" borderId="32" xfId="0" applyNumberFormat="1" applyFont="1" applyFill="1" applyBorder="1"/>
    <xf numFmtId="43" fontId="0" fillId="13" borderId="46" xfId="0" applyNumberFormat="1" applyFill="1" applyBorder="1" applyAlignment="1">
      <alignment horizontal="right"/>
    </xf>
    <xf numFmtId="43" fontId="0" fillId="4" borderId="10" xfId="0" applyNumberFormat="1" applyFill="1" applyBorder="1"/>
    <xf numFmtId="43" fontId="5" fillId="5" borderId="43" xfId="0" applyNumberFormat="1" applyFont="1" applyFill="1" applyBorder="1"/>
    <xf numFmtId="43" fontId="20" fillId="5" borderId="41" xfId="0" applyNumberFormat="1" applyFont="1" applyFill="1" applyBorder="1"/>
    <xf numFmtId="43" fontId="20" fillId="5" borderId="51" xfId="0" applyNumberFormat="1" applyFont="1" applyFill="1" applyBorder="1" applyAlignment="1">
      <alignment horizontal="center"/>
    </xf>
    <xf numFmtId="43" fontId="30" fillId="13" borderId="41" xfId="0" applyNumberFormat="1" applyFont="1" applyFill="1" applyBorder="1"/>
    <xf numFmtId="43" fontId="30" fillId="13" borderId="51" xfId="0" applyNumberFormat="1" applyFont="1" applyFill="1" applyBorder="1" applyAlignment="1">
      <alignment horizontal="center"/>
    </xf>
    <xf numFmtId="43" fontId="5" fillId="5" borderId="37" xfId="0" applyNumberFormat="1" applyFont="1" applyFill="1" applyBorder="1"/>
    <xf numFmtId="43" fontId="0" fillId="13" borderId="41" xfId="0" applyNumberFormat="1" applyFill="1" applyBorder="1" applyAlignment="1">
      <alignment horizontal="right"/>
    </xf>
    <xf numFmtId="43" fontId="0" fillId="13" borderId="51" xfId="0" applyNumberFormat="1" applyFill="1" applyBorder="1" applyAlignment="1">
      <alignment horizontal="left"/>
    </xf>
    <xf numFmtId="43" fontId="20" fillId="13" borderId="46" xfId="0" applyNumberFormat="1" applyFont="1" applyFill="1" applyBorder="1" applyAlignment="1">
      <alignment horizontal="center"/>
    </xf>
    <xf numFmtId="43" fontId="0" fillId="4" borderId="38" xfId="0" applyNumberFormat="1" applyFill="1" applyBorder="1" applyAlignment="1">
      <alignment horizontal="left"/>
    </xf>
    <xf numFmtId="43" fontId="0" fillId="4" borderId="39" xfId="0" applyNumberFormat="1" applyFill="1" applyBorder="1" applyAlignment="1">
      <alignment horizontal="left"/>
    </xf>
    <xf numFmtId="43" fontId="31" fillId="5" borderId="45" xfId="0" applyNumberFormat="1" applyFont="1" applyFill="1" applyBorder="1"/>
    <xf numFmtId="43" fontId="0" fillId="13" borderId="32" xfId="0" applyNumberFormat="1" applyFill="1" applyBorder="1" applyAlignment="1">
      <alignment horizontal="left"/>
    </xf>
    <xf numFmtId="43" fontId="0" fillId="4" borderId="0" xfId="0" applyNumberFormat="1" applyFill="1" applyAlignment="1">
      <alignment vertical="center"/>
    </xf>
    <xf numFmtId="43" fontId="20" fillId="13" borderId="40" xfId="0" applyNumberFormat="1" applyFont="1" applyFill="1" applyBorder="1"/>
    <xf numFmtId="43" fontId="20" fillId="13" borderId="61" xfId="0" applyNumberFormat="1" applyFont="1" applyFill="1" applyBorder="1"/>
    <xf numFmtId="43" fontId="20" fillId="13" borderId="32" xfId="0" applyNumberFormat="1" applyFont="1" applyFill="1" applyBorder="1" applyAlignment="1">
      <alignment horizontal="center"/>
    </xf>
    <xf numFmtId="43" fontId="0" fillId="5" borderId="40" xfId="0" applyNumberFormat="1" applyFill="1" applyBorder="1" applyAlignment="1">
      <alignment horizontal="center" vertical="center"/>
    </xf>
    <xf numFmtId="43" fontId="0" fillId="5" borderId="41" xfId="0" applyNumberFormat="1" applyFill="1" applyBorder="1" applyAlignment="1">
      <alignment horizontal="center" vertical="center"/>
    </xf>
    <xf numFmtId="43" fontId="0" fillId="5" borderId="42" xfId="0" applyNumberFormat="1" applyFill="1" applyBorder="1" applyAlignment="1">
      <alignment horizontal="center" vertical="center"/>
    </xf>
    <xf numFmtId="43" fontId="4" fillId="4" borderId="0" xfId="0" applyNumberFormat="1" applyFont="1" applyFill="1" applyAlignment="1">
      <alignment horizontal="right"/>
    </xf>
    <xf numFmtId="43" fontId="0" fillId="4" borderId="0" xfId="0" applyNumberFormat="1" applyFill="1" applyAlignment="1">
      <alignment horizontal="right"/>
    </xf>
    <xf numFmtId="43" fontId="4" fillId="4" borderId="38" xfId="0" applyNumberFormat="1" applyFont="1" applyFill="1" applyBorder="1" applyAlignment="1">
      <alignment horizontal="left"/>
    </xf>
    <xf numFmtId="43" fontId="4" fillId="4" borderId="39" xfId="0" applyNumberFormat="1" applyFont="1" applyFill="1" applyBorder="1" applyAlignment="1">
      <alignment horizontal="left"/>
    </xf>
    <xf numFmtId="0" fontId="9" fillId="7" borderId="3" xfId="0" applyFont="1" applyFill="1" applyBorder="1" applyAlignment="1">
      <alignment horizontal="left" vertical="center"/>
    </xf>
    <xf numFmtId="0" fontId="9" fillId="0" borderId="13" xfId="0" applyFont="1" applyBorder="1" applyAlignment="1">
      <alignment horizontal="center" vertical="top"/>
    </xf>
    <xf numFmtId="0" fontId="9" fillId="0" borderId="14" xfId="0" applyFont="1" applyBorder="1" applyAlignment="1">
      <alignment horizontal="center" vertical="center"/>
    </xf>
    <xf numFmtId="43" fontId="5" fillId="0" borderId="14" xfId="0" applyNumberFormat="1" applyFont="1" applyBorder="1" applyAlignment="1" applyProtection="1">
      <alignment horizontal="right"/>
      <protection locked="0" hidden="1"/>
    </xf>
    <xf numFmtId="43" fontId="5" fillId="0" borderId="15" xfId="0" applyNumberFormat="1" applyFont="1" applyBorder="1" applyAlignment="1" applyProtection="1">
      <alignment horizontal="right"/>
      <protection locked="0" hidden="1"/>
    </xf>
    <xf numFmtId="0" fontId="7" fillId="0" borderId="7" xfId="0" applyFont="1" applyBorder="1" applyAlignment="1">
      <alignment vertical="center" wrapText="1"/>
    </xf>
    <xf numFmtId="43" fontId="5" fillId="0" borderId="7" xfId="1" applyFont="1" applyFill="1" applyBorder="1" applyAlignment="1" applyProtection="1">
      <alignment horizontal="center" vertical="center" wrapText="1"/>
    </xf>
    <xf numFmtId="0" fontId="5" fillId="0" borderId="16" xfId="0" applyFont="1" applyBorder="1" applyAlignment="1">
      <alignment horizontal="right" vertical="top"/>
    </xf>
    <xf numFmtId="43" fontId="7" fillId="0" borderId="7" xfId="1" applyFont="1" applyFill="1" applyBorder="1" applyAlignment="1" applyProtection="1">
      <alignment vertical="top" wrapText="1"/>
    </xf>
    <xf numFmtId="0" fontId="4" fillId="0" borderId="7" xfId="0" applyFont="1" applyBorder="1" applyAlignment="1">
      <alignment vertical="justify" wrapText="1"/>
    </xf>
    <xf numFmtId="43" fontId="4" fillId="0" borderId="7" xfId="0" applyNumberFormat="1" applyFont="1" applyBorder="1" applyAlignment="1">
      <alignment horizontal="center" vertical="center"/>
    </xf>
    <xf numFmtId="0" fontId="4" fillId="0" borderId="7" xfId="0" applyFont="1" applyBorder="1" applyAlignment="1">
      <alignment vertical="center" wrapText="1"/>
    </xf>
    <xf numFmtId="0" fontId="5" fillId="4" borderId="16" xfId="0" applyFont="1" applyFill="1" applyBorder="1" applyAlignment="1">
      <alignment horizontal="right" vertical="top"/>
    </xf>
    <xf numFmtId="0" fontId="7" fillId="4" borderId="7" xfId="0" applyFont="1" applyFill="1" applyBorder="1" applyAlignment="1">
      <alignment vertical="justify" wrapText="1"/>
    </xf>
    <xf numFmtId="0" fontId="4" fillId="0" borderId="16" xfId="0" applyFont="1" applyBorder="1" applyAlignment="1">
      <alignment horizontal="right" vertical="top"/>
    </xf>
    <xf numFmtId="49" fontId="5" fillId="0" borderId="16" xfId="0" applyNumberFormat="1" applyFont="1" applyBorder="1" applyAlignment="1">
      <alignment horizontal="right" vertical="top"/>
    </xf>
    <xf numFmtId="4" fontId="4" fillId="0" borderId="7" xfId="1" applyNumberFormat="1" applyFont="1" applyFill="1" applyBorder="1" applyAlignment="1" applyProtection="1">
      <alignment horizontal="center" vertical="center" wrapText="1"/>
    </xf>
    <xf numFmtId="0" fontId="7" fillId="4" borderId="7" xfId="0" applyFont="1" applyFill="1" applyBorder="1" applyAlignment="1">
      <alignment vertical="center" wrapText="1"/>
    </xf>
    <xf numFmtId="0" fontId="4" fillId="4" borderId="16" xfId="0" applyFont="1" applyFill="1" applyBorder="1" applyAlignment="1">
      <alignment horizontal="right" vertical="top"/>
    </xf>
    <xf numFmtId="0" fontId="4" fillId="4" borderId="7" xfId="0" applyFont="1" applyFill="1" applyBorder="1" applyAlignment="1">
      <alignment vertical="justify" wrapTex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43" fontId="5" fillId="4" borderId="14" xfId="0" applyNumberFormat="1" applyFont="1" applyFill="1" applyBorder="1" applyAlignment="1">
      <alignment horizontal="center" vertical="center" wrapText="1"/>
    </xf>
    <xf numFmtId="43" fontId="5" fillId="4" borderId="14" xfId="0" applyNumberFormat="1" applyFont="1" applyFill="1" applyBorder="1" applyAlignment="1" applyProtection="1">
      <alignment horizontal="center" vertical="center" wrapText="1"/>
      <protection locked="0" hidden="1"/>
    </xf>
    <xf numFmtId="43" fontId="5" fillId="4" borderId="15" xfId="0" applyNumberFormat="1" applyFont="1" applyFill="1" applyBorder="1" applyAlignment="1" applyProtection="1">
      <alignment horizontal="center" vertical="center" wrapText="1"/>
      <protection locked="0" hidden="1"/>
    </xf>
    <xf numFmtId="0" fontId="8" fillId="0" borderId="7" xfId="0" applyFont="1" applyBorder="1" applyAlignment="1">
      <alignment vertical="center" wrapText="1"/>
    </xf>
    <xf numFmtId="165" fontId="5" fillId="3" borderId="16" xfId="3" applyNumberFormat="1" applyFont="1" applyFill="1" applyBorder="1" applyAlignment="1" applyProtection="1">
      <alignment horizontal="right" vertical="top" wrapText="1"/>
    </xf>
    <xf numFmtId="164" fontId="7" fillId="3" borderId="7" xfId="3" applyFont="1" applyFill="1" applyBorder="1" applyAlignment="1" applyProtection="1">
      <alignment horizontal="justify" wrapText="1"/>
    </xf>
    <xf numFmtId="164" fontId="5" fillId="0" borderId="7" xfId="6" applyFont="1" applyFill="1" applyBorder="1" applyAlignment="1" applyProtection="1">
      <alignment horizontal="center" vertical="center"/>
    </xf>
    <xf numFmtId="164" fontId="0" fillId="3" borderId="7" xfId="3" applyFont="1" applyFill="1" applyBorder="1" applyAlignment="1" applyProtection="1">
      <alignment horizontal="left" wrapText="1"/>
    </xf>
    <xf numFmtId="43" fontId="4" fillId="0" borderId="7" xfId="1" applyFont="1" applyFill="1" applyBorder="1" applyAlignment="1" applyProtection="1">
      <alignment vertical="top" wrapText="1"/>
    </xf>
    <xf numFmtId="4" fontId="4" fillId="0" borderId="7" xfId="1" applyNumberFormat="1" applyFont="1" applyFill="1" applyBorder="1" applyAlignment="1" applyProtection="1">
      <alignment horizontal="center" wrapText="1"/>
    </xf>
    <xf numFmtId="0" fontId="4" fillId="4" borderId="7" xfId="0" applyFont="1" applyFill="1" applyBorder="1" applyAlignment="1">
      <alignment vertical="top" wrapText="1"/>
    </xf>
    <xf numFmtId="165" fontId="5" fillId="0" borderId="13" xfId="27" applyNumberFormat="1" applyFont="1" applyFill="1" applyBorder="1" applyAlignment="1">
      <alignment horizontal="right" vertical="justify"/>
    </xf>
    <xf numFmtId="49" fontId="5" fillId="0" borderId="14" xfId="27" quotePrefix="1" applyNumberFormat="1" applyFont="1" applyFill="1" applyBorder="1" applyAlignment="1">
      <alignment horizontal="left"/>
    </xf>
    <xf numFmtId="43" fontId="5" fillId="0" borderId="14" xfId="1" applyFont="1" applyFill="1" applyBorder="1" applyAlignment="1">
      <alignment horizontal="center" vertical="center"/>
    </xf>
    <xf numFmtId="43" fontId="5" fillId="0" borderId="14" xfId="1" applyFont="1" applyFill="1" applyBorder="1"/>
    <xf numFmtId="43" fontId="5" fillId="0" borderId="15" xfId="27" applyFont="1" applyFill="1" applyBorder="1"/>
    <xf numFmtId="165" fontId="4" fillId="0" borderId="16" xfId="27" applyNumberFormat="1" applyFont="1" applyFill="1" applyBorder="1" applyAlignment="1">
      <alignment horizontal="right" vertical="justify"/>
    </xf>
    <xf numFmtId="49" fontId="7" fillId="0" borderId="7" xfId="27" quotePrefix="1" applyNumberFormat="1" applyFont="1" applyFill="1" applyBorder="1" applyAlignment="1">
      <alignment horizontal="left"/>
    </xf>
    <xf numFmtId="43" fontId="4" fillId="0" borderId="7" xfId="1" applyFont="1" applyFill="1" applyBorder="1" applyAlignment="1">
      <alignment horizontal="center" vertical="center"/>
    </xf>
    <xf numFmtId="43" fontId="4" fillId="0" borderId="7" xfId="1" applyFont="1" applyFill="1" applyBorder="1"/>
    <xf numFmtId="43" fontId="4" fillId="0" borderId="17" xfId="27" applyFont="1" applyFill="1" applyBorder="1"/>
    <xf numFmtId="49" fontId="7" fillId="0" borderId="7" xfId="27" applyNumberFormat="1" applyFont="1" applyFill="1" applyBorder="1" applyAlignment="1">
      <alignment horizontal="left"/>
    </xf>
    <xf numFmtId="166" fontId="4" fillId="0" borderId="16" xfId="27" applyNumberFormat="1" applyFont="1" applyFill="1" applyBorder="1" applyAlignment="1">
      <alignment horizontal="right"/>
    </xf>
    <xf numFmtId="43" fontId="4" fillId="0" borderId="17" xfId="1" applyFont="1" applyFill="1" applyBorder="1" applyAlignment="1">
      <alignment horizontal="center"/>
    </xf>
    <xf numFmtId="166" fontId="4" fillId="0" borderId="18" xfId="27" applyNumberFormat="1" applyFont="1" applyFill="1" applyBorder="1" applyAlignment="1">
      <alignment horizontal="right"/>
    </xf>
    <xf numFmtId="43" fontId="4" fillId="0" borderId="19" xfId="1" applyFont="1" applyFill="1" applyBorder="1" applyAlignment="1">
      <alignment horizontal="center" vertical="center"/>
    </xf>
    <xf numFmtId="43" fontId="4" fillId="0" borderId="19" xfId="1" applyFont="1" applyFill="1" applyBorder="1"/>
    <xf numFmtId="43" fontId="4" fillId="0" borderId="20" xfId="1" applyFont="1" applyFill="1" applyBorder="1" applyAlignment="1">
      <alignment horizontal="center"/>
    </xf>
    <xf numFmtId="49" fontId="4" fillId="0" borderId="19" xfId="27" applyNumberFormat="1" applyFont="1" applyFill="1" applyBorder="1" applyAlignment="1">
      <alignment horizontal="left"/>
    </xf>
    <xf numFmtId="0" fontId="4" fillId="0" borderId="19" xfId="0" applyFont="1" applyBorder="1" applyAlignment="1">
      <alignment vertical="center" wrapText="1"/>
    </xf>
    <xf numFmtId="0" fontId="4" fillId="0" borderId="7" xfId="0" applyFont="1" applyBorder="1" applyAlignment="1">
      <alignment vertical="top" wrapText="1"/>
    </xf>
    <xf numFmtId="164" fontId="4" fillId="3" borderId="7" xfId="3" applyFont="1" applyFill="1" applyBorder="1" applyAlignment="1" applyProtection="1">
      <alignment horizontal="left" vertical="top" wrapText="1"/>
    </xf>
    <xf numFmtId="0" fontId="5" fillId="7" borderId="29" xfId="0" applyFont="1" applyFill="1" applyBorder="1" applyAlignment="1">
      <alignment vertical="center"/>
    </xf>
    <xf numFmtId="43" fontId="4" fillId="7" borderId="29" xfId="1" applyFont="1" applyFill="1" applyBorder="1" applyAlignment="1">
      <alignment horizontal="left" vertical="center"/>
    </xf>
    <xf numFmtId="43" fontId="4" fillId="7" borderId="62" xfId="1" applyFont="1" applyFill="1" applyBorder="1" applyAlignment="1">
      <alignment horizontal="left"/>
    </xf>
    <xf numFmtId="0" fontId="5" fillId="7" borderId="53" xfId="0" applyFont="1" applyFill="1" applyBorder="1" applyAlignment="1">
      <alignment vertical="center"/>
    </xf>
    <xf numFmtId="4" fontId="5" fillId="4" borderId="14" xfId="0" applyNumberFormat="1" applyFont="1" applyFill="1" applyBorder="1" applyAlignment="1">
      <alignment horizontal="center" vertical="center" wrapText="1"/>
    </xf>
    <xf numFmtId="4" fontId="5" fillId="0" borderId="7" xfId="23" applyNumberFormat="1" applyFont="1" applyBorder="1" applyAlignment="1">
      <alignment horizontal="center" vertical="center"/>
    </xf>
    <xf numFmtId="43" fontId="4" fillId="0" borderId="14" xfId="27" applyFont="1" applyFill="1" applyBorder="1" applyAlignment="1">
      <alignment horizontal="center" vertical="center"/>
    </xf>
    <xf numFmtId="43" fontId="4" fillId="0" borderId="7" xfId="27" applyFont="1" applyFill="1" applyBorder="1" applyAlignment="1">
      <alignment horizontal="center" vertical="center"/>
    </xf>
    <xf numFmtId="43" fontId="4" fillId="0" borderId="19" xfId="27" applyFont="1" applyFill="1" applyBorder="1" applyAlignment="1">
      <alignment horizontal="center" vertical="center"/>
    </xf>
    <xf numFmtId="43" fontId="4" fillId="7" borderId="29" xfId="27" applyFont="1" applyFill="1" applyBorder="1" applyAlignment="1">
      <alignment horizontal="center" vertical="center"/>
    </xf>
    <xf numFmtId="4" fontId="6" fillId="0" borderId="0" xfId="0" applyNumberFormat="1" applyFont="1" applyAlignment="1">
      <alignment horizontal="center" vertical="center"/>
    </xf>
    <xf numFmtId="0" fontId="5" fillId="7" borderId="29" xfId="0" applyFont="1" applyFill="1" applyBorder="1" applyAlignment="1">
      <alignment horizontal="center" vertical="center"/>
    </xf>
    <xf numFmtId="43" fontId="5" fillId="7" borderId="62" xfId="0" applyNumberFormat="1" applyFont="1" applyFill="1" applyBorder="1" applyProtection="1">
      <protection locked="0" hidden="1"/>
    </xf>
    <xf numFmtId="43" fontId="0" fillId="13" borderId="51" xfId="0" applyNumberFormat="1" applyFill="1" applyBorder="1" applyAlignment="1">
      <alignment horizontal="right"/>
    </xf>
    <xf numFmtId="43" fontId="21" fillId="9" borderId="37" xfId="0" applyNumberFormat="1" applyFont="1" applyFill="1" applyBorder="1"/>
    <xf numFmtId="43" fontId="4" fillId="5" borderId="41" xfId="0" applyNumberFormat="1" applyFont="1" applyFill="1" applyBorder="1" applyAlignment="1">
      <alignment horizontal="center" vertical="center"/>
    </xf>
    <xf numFmtId="43" fontId="20" fillId="13" borderId="46" xfId="0" applyNumberFormat="1" applyFont="1" applyFill="1" applyBorder="1"/>
    <xf numFmtId="43" fontId="4" fillId="5" borderId="46" xfId="0" applyNumberFormat="1" applyFont="1" applyFill="1" applyBorder="1" applyAlignment="1">
      <alignment horizontal="left"/>
    </xf>
    <xf numFmtId="43" fontId="30" fillId="13" borderId="0" xfId="0" applyNumberFormat="1" applyFont="1" applyFill="1" applyAlignment="1">
      <alignment horizontal="center"/>
    </xf>
    <xf numFmtId="43" fontId="20" fillId="5" borderId="0" xfId="0" applyNumberFormat="1" applyFont="1" applyFill="1" applyAlignment="1">
      <alignment horizontal="center"/>
    </xf>
    <xf numFmtId="43" fontId="0" fillId="5" borderId="61" xfId="0" applyNumberFormat="1" applyFill="1" applyBorder="1" applyAlignment="1">
      <alignment horizontal="center"/>
    </xf>
    <xf numFmtId="43" fontId="0" fillId="4" borderId="47" xfId="0" applyNumberFormat="1" applyFill="1" applyBorder="1"/>
    <xf numFmtId="43" fontId="0" fillId="4" borderId="48" xfId="0" applyNumberFormat="1" applyFill="1" applyBorder="1"/>
    <xf numFmtId="43" fontId="0" fillId="4" borderId="49" xfId="0" applyNumberFormat="1" applyFill="1" applyBorder="1"/>
    <xf numFmtId="43" fontId="0" fillId="4" borderId="44" xfId="0" applyNumberFormat="1" applyFill="1" applyBorder="1" applyAlignment="1">
      <alignment horizontal="left"/>
    </xf>
    <xf numFmtId="43" fontId="20" fillId="4" borderId="12" xfId="0" applyNumberFormat="1" applyFont="1" applyFill="1" applyBorder="1"/>
    <xf numFmtId="43" fontId="21" fillId="4" borderId="44" xfId="0" applyNumberFormat="1" applyFont="1" applyFill="1" applyBorder="1" applyAlignment="1">
      <alignment horizontal="left"/>
    </xf>
    <xf numFmtId="43" fontId="0" fillId="4" borderId="55" xfId="0" applyNumberFormat="1" applyFill="1" applyBorder="1"/>
    <xf numFmtId="43" fontId="0" fillId="4" borderId="56" xfId="0" applyNumberFormat="1" applyFill="1" applyBorder="1"/>
    <xf numFmtId="43" fontId="0" fillId="4" borderId="50" xfId="0" applyNumberFormat="1" applyFill="1" applyBorder="1"/>
    <xf numFmtId="43" fontId="33" fillId="4" borderId="0" xfId="0" applyNumberFormat="1" applyFont="1" applyFill="1"/>
    <xf numFmtId="43" fontId="4" fillId="4" borderId="0" xfId="0" applyNumberFormat="1" applyFont="1" applyFill="1"/>
    <xf numFmtId="43" fontId="20" fillId="4" borderId="32" xfId="0" applyNumberFormat="1" applyFont="1" applyFill="1" applyBorder="1"/>
    <xf numFmtId="43" fontId="4" fillId="5" borderId="32" xfId="0" applyNumberFormat="1" applyFont="1" applyFill="1" applyBorder="1" applyAlignment="1">
      <alignment horizontal="right"/>
    </xf>
    <xf numFmtId="43" fontId="4" fillId="5" borderId="46" xfId="0" applyNumberFormat="1" applyFont="1" applyFill="1" applyBorder="1" applyAlignment="1">
      <alignment horizontal="right"/>
    </xf>
    <xf numFmtId="43" fontId="34" fillId="4" borderId="0" xfId="0" applyNumberFormat="1" applyFont="1" applyFill="1" applyAlignment="1">
      <alignment vertical="center"/>
    </xf>
    <xf numFmtId="0" fontId="35" fillId="0" borderId="0" xfId="0" applyFont="1"/>
    <xf numFmtId="168" fontId="35" fillId="0" borderId="0" xfId="0" applyNumberFormat="1" applyFont="1"/>
    <xf numFmtId="43" fontId="36" fillId="5" borderId="40" xfId="0" applyNumberFormat="1" applyFont="1" applyFill="1" applyBorder="1" applyAlignment="1">
      <alignment horizontal="center"/>
    </xf>
    <xf numFmtId="43" fontId="5" fillId="5" borderId="41" xfId="0" applyNumberFormat="1" applyFont="1" applyFill="1" applyBorder="1" applyAlignment="1">
      <alignment horizontal="center"/>
    </xf>
    <xf numFmtId="43" fontId="36" fillId="5" borderId="41" xfId="0" applyNumberFormat="1" applyFont="1" applyFill="1" applyBorder="1" applyAlignment="1">
      <alignment horizontal="center"/>
    </xf>
    <xf numFmtId="43" fontId="36" fillId="5" borderId="42" xfId="0" applyNumberFormat="1" applyFont="1" applyFill="1" applyBorder="1" applyAlignment="1">
      <alignment horizontal="center"/>
    </xf>
    <xf numFmtId="168" fontId="36" fillId="4" borderId="44" xfId="0" applyNumberFormat="1" applyFont="1" applyFill="1" applyBorder="1" applyAlignment="1">
      <alignment horizontal="center"/>
    </xf>
    <xf numFmtId="43" fontId="35" fillId="4" borderId="37" xfId="0" applyNumberFormat="1" applyFont="1" applyFill="1" applyBorder="1"/>
    <xf numFmtId="168" fontId="35" fillId="4" borderId="44" xfId="0" applyNumberFormat="1" applyFont="1" applyFill="1" applyBorder="1"/>
    <xf numFmtId="43" fontId="35" fillId="4" borderId="38" xfId="0" applyNumberFormat="1" applyFont="1" applyFill="1" applyBorder="1"/>
    <xf numFmtId="43" fontId="36" fillId="4" borderId="38" xfId="0" applyNumberFormat="1" applyFont="1" applyFill="1" applyBorder="1"/>
    <xf numFmtId="43" fontId="35" fillId="4" borderId="39" xfId="0" applyNumberFormat="1" applyFont="1" applyFill="1" applyBorder="1"/>
    <xf numFmtId="43" fontId="36" fillId="4" borderId="39" xfId="0" applyNumberFormat="1" applyFont="1" applyFill="1" applyBorder="1"/>
    <xf numFmtId="43" fontId="35" fillId="4" borderId="0" xfId="0" applyNumberFormat="1" applyFont="1" applyFill="1"/>
    <xf numFmtId="43" fontId="35" fillId="0" borderId="0" xfId="0" applyNumberFormat="1" applyFont="1"/>
    <xf numFmtId="43" fontId="36" fillId="0" borderId="0" xfId="0" applyNumberFormat="1" applyFont="1"/>
    <xf numFmtId="0" fontId="35" fillId="4" borderId="0" xfId="0" applyFont="1" applyFill="1"/>
    <xf numFmtId="43" fontId="36" fillId="13" borderId="51" xfId="0" applyNumberFormat="1" applyFont="1" applyFill="1" applyBorder="1" applyAlignment="1">
      <alignment horizontal="center"/>
    </xf>
    <xf numFmtId="0" fontId="36" fillId="0" borderId="45" xfId="0" applyFont="1" applyBorder="1" applyAlignment="1">
      <alignment vertical="center"/>
    </xf>
    <xf numFmtId="0" fontId="36" fillId="0" borderId="51" xfId="0" applyFont="1" applyBorder="1" applyAlignment="1">
      <alignment vertical="center"/>
    </xf>
    <xf numFmtId="0" fontId="36" fillId="0" borderId="44" xfId="0" applyFont="1" applyBorder="1" applyAlignment="1">
      <alignment vertical="center"/>
    </xf>
    <xf numFmtId="43" fontId="34" fillId="4" borderId="0" xfId="0" applyNumberFormat="1" applyFont="1" applyFill="1"/>
    <xf numFmtId="43" fontId="36" fillId="4" borderId="0" xfId="0" applyNumberFormat="1" applyFont="1" applyFill="1"/>
    <xf numFmtId="43" fontId="36" fillId="4" borderId="0" xfId="0" applyNumberFormat="1" applyFont="1" applyFill="1" applyAlignment="1">
      <alignment horizontal="center"/>
    </xf>
    <xf numFmtId="168" fontId="36" fillId="5" borderId="41" xfId="0" applyNumberFormat="1" applyFont="1" applyFill="1" applyBorder="1" applyAlignment="1">
      <alignment horizontal="center"/>
    </xf>
    <xf numFmtId="43" fontId="36" fillId="4" borderId="27" xfId="0" applyNumberFormat="1" applyFont="1" applyFill="1" applyBorder="1" applyAlignment="1">
      <alignment horizontal="center"/>
    </xf>
    <xf numFmtId="43" fontId="5" fillId="4" borderId="0" xfId="0" applyNumberFormat="1" applyFont="1" applyFill="1" applyAlignment="1">
      <alignment horizontal="center"/>
    </xf>
    <xf numFmtId="168" fontId="35" fillId="4" borderId="37" xfId="0" applyNumberFormat="1" applyFont="1" applyFill="1" applyBorder="1"/>
    <xf numFmtId="43" fontId="35" fillId="4" borderId="44" xfId="0" applyNumberFormat="1" applyFont="1" applyFill="1" applyBorder="1"/>
    <xf numFmtId="168" fontId="35" fillId="4" borderId="38" xfId="0" applyNumberFormat="1" applyFont="1" applyFill="1" applyBorder="1"/>
    <xf numFmtId="43" fontId="36" fillId="4" borderId="44" xfId="0" applyNumberFormat="1" applyFont="1" applyFill="1" applyBorder="1"/>
    <xf numFmtId="168" fontId="35" fillId="4" borderId="39" xfId="0" applyNumberFormat="1" applyFont="1" applyFill="1" applyBorder="1"/>
    <xf numFmtId="43" fontId="5" fillId="4" borderId="44" xfId="0" applyNumberFormat="1" applyFont="1" applyFill="1" applyBorder="1"/>
    <xf numFmtId="43" fontId="23" fillId="4" borderId="38" xfId="0" applyNumberFormat="1" applyFont="1" applyFill="1" applyBorder="1"/>
    <xf numFmtId="43" fontId="36" fillId="13" borderId="32" xfId="0" applyNumberFormat="1" applyFont="1" applyFill="1" applyBorder="1"/>
    <xf numFmtId="43" fontId="36" fillId="5" borderId="45" xfId="0" applyNumberFormat="1" applyFont="1" applyFill="1" applyBorder="1" applyAlignment="1">
      <alignment horizontal="left"/>
    </xf>
    <xf numFmtId="43" fontId="36" fillId="0" borderId="64" xfId="0" applyNumberFormat="1" applyFont="1" applyBorder="1"/>
    <xf numFmtId="43" fontId="36" fillId="0" borderId="34" xfId="0" applyNumberFormat="1" applyFont="1" applyBorder="1"/>
    <xf numFmtId="43" fontId="35" fillId="4" borderId="9" xfId="0" applyNumberFormat="1" applyFont="1" applyFill="1" applyBorder="1"/>
    <xf numFmtId="43" fontId="35" fillId="4" borderId="10" xfId="0" applyNumberFormat="1" applyFont="1" applyFill="1" applyBorder="1" applyAlignment="1">
      <alignment horizontal="center"/>
    </xf>
    <xf numFmtId="43" fontId="35" fillId="4" borderId="11" xfId="0" applyNumberFormat="1" applyFont="1" applyFill="1" applyBorder="1" applyAlignment="1">
      <alignment horizontal="center"/>
    </xf>
    <xf numFmtId="43" fontId="35" fillId="4" borderId="66" xfId="0" applyNumberFormat="1" applyFont="1" applyFill="1" applyBorder="1"/>
    <xf numFmtId="43" fontId="35" fillId="4" borderId="65" xfId="0" applyNumberFormat="1" applyFont="1" applyFill="1" applyBorder="1" applyAlignment="1">
      <alignment horizontal="center"/>
    </xf>
    <xf numFmtId="43" fontId="35" fillId="4" borderId="58" xfId="0" applyNumberFormat="1" applyFont="1" applyFill="1" applyBorder="1"/>
    <xf numFmtId="43" fontId="35" fillId="4" borderId="59" xfId="0" applyNumberFormat="1" applyFont="1" applyFill="1" applyBorder="1" applyAlignment="1">
      <alignment horizontal="center"/>
    </xf>
    <xf numFmtId="43" fontId="35" fillId="4" borderId="57" xfId="0" applyNumberFormat="1" applyFont="1" applyFill="1" applyBorder="1" applyAlignment="1">
      <alignment horizontal="center"/>
    </xf>
    <xf numFmtId="43" fontId="21" fillId="4" borderId="0" xfId="0" applyNumberFormat="1" applyFont="1" applyFill="1"/>
    <xf numFmtId="43" fontId="0" fillId="4" borderId="44" xfId="0" applyNumberFormat="1" applyFill="1" applyBorder="1" applyAlignment="1">
      <alignment vertical="center"/>
    </xf>
    <xf numFmtId="43" fontId="20" fillId="4" borderId="0" xfId="0" applyNumberFormat="1" applyFont="1" applyFill="1" applyAlignment="1">
      <alignment vertical="center"/>
    </xf>
    <xf numFmtId="0" fontId="0" fillId="4" borderId="0" xfId="0" applyFill="1" applyAlignment="1">
      <alignment horizontal="center" vertical="center" wrapText="1"/>
    </xf>
    <xf numFmtId="43" fontId="0" fillId="4" borderId="27" xfId="0" applyNumberFormat="1" applyFill="1" applyBorder="1" applyAlignment="1">
      <alignment vertical="center"/>
    </xf>
    <xf numFmtId="0" fontId="5" fillId="4" borderId="38" xfId="0" applyFont="1" applyFill="1" applyBorder="1"/>
    <xf numFmtId="0" fontId="0" fillId="4" borderId="56" xfId="0" applyFill="1" applyBorder="1"/>
    <xf numFmtId="43" fontId="32" fillId="4" borderId="0" xfId="0" applyNumberFormat="1" applyFont="1" applyFill="1" applyAlignment="1">
      <alignment vertical="center"/>
    </xf>
    <xf numFmtId="43" fontId="20" fillId="13" borderId="32" xfId="0" applyNumberFormat="1" applyFont="1" applyFill="1" applyBorder="1" applyAlignment="1">
      <alignment vertical="center"/>
    </xf>
    <xf numFmtId="0" fontId="0" fillId="13" borderId="40" xfId="0" applyFill="1" applyBorder="1" applyAlignment="1">
      <alignment horizontal="center"/>
    </xf>
    <xf numFmtId="0" fontId="0" fillId="13" borderId="41" xfId="0" applyFill="1" applyBorder="1" applyAlignment="1">
      <alignment horizontal="center"/>
    </xf>
    <xf numFmtId="0" fontId="0" fillId="13" borderId="42" xfId="0" applyFill="1" applyBorder="1" applyAlignment="1">
      <alignment horizontal="center"/>
    </xf>
    <xf numFmtId="0" fontId="0" fillId="13" borderId="40" xfId="0" applyFill="1" applyBorder="1" applyAlignment="1">
      <alignment vertical="center" wrapText="1"/>
    </xf>
    <xf numFmtId="43" fontId="20" fillId="4" borderId="41" xfId="0" applyNumberFormat="1" applyFont="1" applyFill="1" applyBorder="1" applyAlignment="1">
      <alignment vertical="center"/>
    </xf>
    <xf numFmtId="0" fontId="0" fillId="13" borderId="40" xfId="0" applyFill="1" applyBorder="1" applyAlignment="1">
      <alignment horizontal="center" vertical="center"/>
    </xf>
    <xf numFmtId="0" fontId="0" fillId="13" borderId="41" xfId="0" applyFill="1" applyBorder="1" applyAlignment="1">
      <alignment horizontal="center" vertical="center"/>
    </xf>
    <xf numFmtId="0" fontId="0" fillId="13" borderId="61" xfId="0" applyFill="1" applyBorder="1" applyAlignment="1">
      <alignment horizontal="center" vertical="center"/>
    </xf>
    <xf numFmtId="0" fontId="0" fillId="13" borderId="32" xfId="0" applyFill="1" applyBorder="1" applyAlignment="1">
      <alignment horizontal="center" vertical="center" wrapText="1"/>
    </xf>
    <xf numFmtId="0" fontId="0" fillId="13" borderId="32" xfId="0" applyFill="1" applyBorder="1" applyAlignment="1">
      <alignment horizontal="center" vertical="center"/>
    </xf>
    <xf numFmtId="43" fontId="20" fillId="13" borderId="45" xfId="0" applyNumberFormat="1" applyFont="1" applyFill="1" applyBorder="1"/>
    <xf numFmtId="0" fontId="0" fillId="13" borderId="37" xfId="0" applyFill="1" applyBorder="1"/>
    <xf numFmtId="0" fontId="0" fillId="13" borderId="47" xfId="0" applyFill="1" applyBorder="1"/>
    <xf numFmtId="43" fontId="20" fillId="13" borderId="44" xfId="0" applyNumberFormat="1" applyFont="1" applyFill="1" applyBorder="1"/>
    <xf numFmtId="43" fontId="20" fillId="4" borderId="42" xfId="0" applyNumberFormat="1" applyFont="1" applyFill="1" applyBorder="1" applyAlignment="1">
      <alignment vertical="center"/>
    </xf>
    <xf numFmtId="0" fontId="7" fillId="13" borderId="47" xfId="0" applyFont="1" applyFill="1" applyBorder="1"/>
    <xf numFmtId="0" fontId="29" fillId="13" borderId="40" xfId="0" applyFont="1" applyFill="1" applyBorder="1" applyAlignment="1">
      <alignment horizontal="center"/>
    </xf>
    <xf numFmtId="0" fontId="29" fillId="13" borderId="41" xfId="0" applyFont="1" applyFill="1" applyBorder="1" applyAlignment="1">
      <alignment horizontal="center"/>
    </xf>
    <xf numFmtId="0" fontId="29" fillId="13" borderId="42" xfId="0" applyFont="1" applyFill="1" applyBorder="1" applyAlignment="1">
      <alignment horizontal="center"/>
    </xf>
    <xf numFmtId="43" fontId="20" fillId="13" borderId="43" xfId="0" applyNumberFormat="1" applyFont="1" applyFill="1" applyBorder="1"/>
    <xf numFmtId="43" fontId="20" fillId="13" borderId="34" xfId="0" applyNumberFormat="1" applyFont="1" applyFill="1" applyBorder="1"/>
    <xf numFmtId="0" fontId="7" fillId="13" borderId="33" xfId="0" applyFont="1" applyFill="1" applyBorder="1"/>
    <xf numFmtId="0" fontId="4" fillId="13" borderId="41" xfId="0" applyFont="1" applyFill="1" applyBorder="1" applyAlignment="1">
      <alignment horizontal="center"/>
    </xf>
    <xf numFmtId="0" fontId="0" fillId="4" borderId="44" xfId="0" applyFill="1" applyBorder="1"/>
    <xf numFmtId="2" fontId="0" fillId="4" borderId="0" xfId="0" applyNumberFormat="1" applyFill="1"/>
    <xf numFmtId="0" fontId="5" fillId="13" borderId="41" xfId="0" applyFont="1" applyFill="1" applyBorder="1" applyAlignment="1">
      <alignment horizontal="center"/>
    </xf>
    <xf numFmtId="43" fontId="4" fillId="4" borderId="38" xfId="0" applyNumberFormat="1" applyFont="1" applyFill="1" applyBorder="1" applyAlignment="1">
      <alignment horizontal="center"/>
    </xf>
    <xf numFmtId="0" fontId="5" fillId="13" borderId="40" xfId="0" applyFont="1" applyFill="1" applyBorder="1" applyAlignment="1">
      <alignment horizontal="center" vertical="center"/>
    </xf>
    <xf numFmtId="0" fontId="5" fillId="13" borderId="41" xfId="0" applyFont="1" applyFill="1" applyBorder="1" applyAlignment="1">
      <alignment horizontal="center" vertical="center"/>
    </xf>
    <xf numFmtId="0" fontId="0" fillId="13" borderId="46" xfId="0" applyFill="1" applyBorder="1"/>
    <xf numFmtId="0" fontId="5" fillId="13" borderId="42" xfId="0" applyFont="1" applyFill="1" applyBorder="1" applyAlignment="1">
      <alignment horizontal="center" vertical="center"/>
    </xf>
    <xf numFmtId="0" fontId="5" fillId="13" borderId="61" xfId="0" applyFont="1" applyFill="1" applyBorder="1" applyAlignment="1">
      <alignment horizontal="center" vertical="center"/>
    </xf>
    <xf numFmtId="0" fontId="5" fillId="13" borderId="32" xfId="0" applyFont="1" applyFill="1" applyBorder="1" applyAlignment="1">
      <alignment horizontal="center" vertical="center"/>
    </xf>
    <xf numFmtId="43" fontId="20" fillId="4" borderId="50" xfId="0" applyNumberFormat="1" applyFont="1" applyFill="1" applyBorder="1"/>
    <xf numFmtId="43" fontId="20" fillId="13" borderId="51" xfId="0" applyNumberFormat="1" applyFont="1" applyFill="1" applyBorder="1"/>
    <xf numFmtId="43" fontId="4" fillId="4" borderId="44" xfId="0" applyNumberFormat="1" applyFont="1" applyFill="1" applyBorder="1" applyAlignment="1">
      <alignment horizontal="center"/>
    </xf>
    <xf numFmtId="43" fontId="30" fillId="4" borderId="0" xfId="0" applyNumberFormat="1" applyFont="1" applyFill="1"/>
    <xf numFmtId="43" fontId="30" fillId="4" borderId="0" xfId="0" applyNumberFormat="1" applyFont="1" applyFill="1" applyAlignment="1">
      <alignment horizontal="center"/>
    </xf>
    <xf numFmtId="43" fontId="4" fillId="4" borderId="0" xfId="0" applyNumberFormat="1" applyFont="1" applyFill="1" applyAlignment="1">
      <alignment horizontal="center"/>
    </xf>
    <xf numFmtId="43" fontId="4" fillId="4" borderId="0" xfId="0" applyNumberFormat="1" applyFont="1" applyFill="1" applyAlignment="1">
      <alignment horizontal="left"/>
    </xf>
    <xf numFmtId="43" fontId="4" fillId="4" borderId="44" xfId="0" applyNumberFormat="1" applyFont="1" applyFill="1" applyBorder="1" applyAlignment="1">
      <alignment horizontal="left"/>
    </xf>
    <xf numFmtId="2" fontId="5" fillId="4" borderId="38" xfId="0" applyNumberFormat="1" applyFont="1" applyFill="1" applyBorder="1"/>
    <xf numFmtId="2" fontId="5" fillId="13" borderId="35" xfId="0" applyNumberFormat="1" applyFont="1" applyFill="1" applyBorder="1" applyAlignment="1">
      <alignment horizontal="center"/>
    </xf>
    <xf numFmtId="0" fontId="4" fillId="13" borderId="40" xfId="0" applyFont="1" applyFill="1" applyBorder="1" applyAlignment="1">
      <alignment vertical="center" wrapText="1"/>
    </xf>
    <xf numFmtId="43" fontId="21" fillId="13" borderId="32" xfId="0" applyNumberFormat="1" applyFont="1" applyFill="1" applyBorder="1" applyAlignment="1">
      <alignment vertical="center"/>
    </xf>
    <xf numFmtId="43" fontId="21" fillId="13" borderId="45" xfId="0" applyNumberFormat="1" applyFont="1" applyFill="1" applyBorder="1"/>
    <xf numFmtId="43" fontId="0" fillId="13" borderId="40" xfId="0" applyNumberFormat="1" applyFill="1" applyBorder="1" applyAlignment="1">
      <alignment horizontal="center"/>
    </xf>
    <xf numFmtId="43" fontId="4" fillId="13" borderId="41" xfId="0" applyNumberFormat="1" applyFont="1" applyFill="1" applyBorder="1" applyAlignment="1">
      <alignment horizontal="center"/>
    </xf>
    <xf numFmtId="43" fontId="0" fillId="13" borderId="41" xfId="0" applyNumberFormat="1" applyFill="1" applyBorder="1" applyAlignment="1">
      <alignment horizontal="center"/>
    </xf>
    <xf numFmtId="43" fontId="0" fillId="13" borderId="42" xfId="0" applyNumberFormat="1" applyFill="1" applyBorder="1" applyAlignment="1">
      <alignment horizontal="center"/>
    </xf>
    <xf numFmtId="43" fontId="4" fillId="13" borderId="40" xfId="0" applyNumberFormat="1" applyFont="1" applyFill="1" applyBorder="1" applyAlignment="1">
      <alignment horizontal="center"/>
    </xf>
    <xf numFmtId="43" fontId="4" fillId="13" borderId="42" xfId="0" applyNumberFormat="1" applyFont="1" applyFill="1" applyBorder="1" applyAlignment="1">
      <alignment horizontal="center"/>
    </xf>
    <xf numFmtId="43" fontId="21" fillId="13" borderId="45" xfId="0" applyNumberFormat="1" applyFont="1" applyFill="1" applyBorder="1" applyAlignment="1">
      <alignment horizontal="left"/>
    </xf>
    <xf numFmtId="43" fontId="5" fillId="13" borderId="37" xfId="0" applyNumberFormat="1" applyFont="1" applyFill="1" applyBorder="1"/>
    <xf numFmtId="0" fontId="23" fillId="9" borderId="18" xfId="0" applyFont="1" applyFill="1" applyBorder="1"/>
    <xf numFmtId="168" fontId="23" fillId="9" borderId="20" xfId="0" applyNumberFormat="1" applyFont="1" applyFill="1" applyBorder="1"/>
    <xf numFmtId="43" fontId="23" fillId="4" borderId="0" xfId="0" applyNumberFormat="1" applyFont="1" applyFill="1" applyAlignment="1">
      <alignment horizontal="right"/>
    </xf>
    <xf numFmtId="43" fontId="23" fillId="4" borderId="0" xfId="0" applyNumberFormat="1" applyFont="1" applyFill="1" applyAlignment="1">
      <alignment horizontal="center" vertical="center" wrapText="1"/>
    </xf>
    <xf numFmtId="43" fontId="23" fillId="4" borderId="0" xfId="0" applyNumberFormat="1" applyFont="1" applyFill="1" applyAlignment="1">
      <alignment vertical="center"/>
    </xf>
    <xf numFmtId="43" fontId="16" fillId="4" borderId="31" xfId="0" applyNumberFormat="1" applyFont="1" applyFill="1" applyBorder="1" applyAlignment="1">
      <alignment vertical="center"/>
    </xf>
    <xf numFmtId="43" fontId="16" fillId="4" borderId="67" xfId="0" applyNumberFormat="1" applyFont="1" applyFill="1" applyBorder="1" applyAlignment="1">
      <alignment horizontal="center" vertical="center"/>
    </xf>
    <xf numFmtId="43" fontId="16" fillId="4" borderId="68" xfId="0" applyNumberFormat="1" applyFont="1" applyFill="1" applyBorder="1" applyAlignment="1">
      <alignment vertical="center"/>
    </xf>
    <xf numFmtId="43" fontId="16" fillId="4" borderId="69" xfId="0" applyNumberFormat="1" applyFont="1" applyFill="1" applyBorder="1" applyAlignment="1">
      <alignment vertical="center"/>
    </xf>
    <xf numFmtId="43" fontId="16" fillId="4" borderId="70" xfId="0" applyNumberFormat="1" applyFont="1" applyFill="1" applyBorder="1" applyAlignment="1">
      <alignment vertical="center"/>
    </xf>
    <xf numFmtId="43" fontId="23" fillId="4" borderId="31" xfId="0" applyNumberFormat="1" applyFont="1" applyFill="1" applyBorder="1" applyAlignment="1">
      <alignment horizontal="right" vertical="center"/>
    </xf>
    <xf numFmtId="43" fontId="23" fillId="4" borderId="31" xfId="0" applyNumberFormat="1" applyFont="1" applyFill="1" applyBorder="1" applyAlignment="1">
      <alignment horizontal="center" vertical="center"/>
    </xf>
    <xf numFmtId="43" fontId="23" fillId="4" borderId="31" xfId="0" applyNumberFormat="1" applyFont="1" applyFill="1" applyBorder="1" applyAlignment="1">
      <alignment vertical="center"/>
    </xf>
    <xf numFmtId="2" fontId="22" fillId="4" borderId="31" xfId="0" applyNumberFormat="1" applyFont="1" applyFill="1" applyBorder="1" applyAlignment="1">
      <alignment horizontal="center" vertical="center"/>
    </xf>
    <xf numFmtId="43" fontId="23" fillId="4" borderId="71" xfId="0" applyNumberFormat="1" applyFont="1" applyFill="1" applyBorder="1" applyAlignment="1">
      <alignment vertical="center"/>
    </xf>
    <xf numFmtId="43" fontId="23" fillId="4" borderId="68" xfId="0" applyNumberFormat="1" applyFont="1" applyFill="1" applyBorder="1" applyAlignment="1">
      <alignment horizontal="right" vertical="center"/>
    </xf>
    <xf numFmtId="43" fontId="23" fillId="4" borderId="68" xfId="0" applyNumberFormat="1" applyFont="1" applyFill="1" applyBorder="1" applyAlignment="1">
      <alignment horizontal="center" vertical="center"/>
    </xf>
    <xf numFmtId="43" fontId="23" fillId="4" borderId="68" xfId="0" applyNumberFormat="1" applyFont="1" applyFill="1" applyBorder="1" applyAlignment="1">
      <alignment vertical="center"/>
    </xf>
    <xf numFmtId="2" fontId="22" fillId="4" borderId="68" xfId="0" applyNumberFormat="1" applyFont="1" applyFill="1" applyBorder="1" applyAlignment="1">
      <alignment horizontal="center" vertical="center"/>
    </xf>
    <xf numFmtId="43" fontId="27" fillId="13" borderId="9" xfId="0" applyNumberFormat="1" applyFont="1" applyFill="1" applyBorder="1" applyAlignment="1">
      <alignment horizontal="center" vertical="center" wrapText="1"/>
    </xf>
    <xf numFmtId="43" fontId="27" fillId="13" borderId="10" xfId="0" applyNumberFormat="1" applyFont="1" applyFill="1" applyBorder="1" applyAlignment="1">
      <alignment horizontal="center" vertical="center" wrapText="1"/>
    </xf>
    <xf numFmtId="43" fontId="27" fillId="13" borderId="11" xfId="0" applyNumberFormat="1" applyFont="1" applyFill="1" applyBorder="1" applyAlignment="1">
      <alignment horizontal="center" vertical="center" wrapText="1"/>
    </xf>
    <xf numFmtId="37" fontId="23" fillId="9" borderId="31" xfId="0" applyNumberFormat="1" applyFont="1" applyFill="1" applyBorder="1" applyAlignment="1">
      <alignment horizontal="center" vertical="center"/>
    </xf>
    <xf numFmtId="37" fontId="23" fillId="9" borderId="68" xfId="0" applyNumberFormat="1" applyFont="1" applyFill="1" applyBorder="1" applyAlignment="1">
      <alignment horizontal="center" vertical="center"/>
    </xf>
    <xf numFmtId="43" fontId="23" fillId="9" borderId="31" xfId="0" applyNumberFormat="1" applyFont="1" applyFill="1" applyBorder="1" applyAlignment="1">
      <alignment horizontal="center" vertical="center"/>
    </xf>
    <xf numFmtId="43" fontId="23" fillId="9" borderId="68" xfId="0" applyNumberFormat="1" applyFont="1" applyFill="1" applyBorder="1" applyAlignment="1">
      <alignment horizontal="center" vertical="center"/>
    </xf>
    <xf numFmtId="43" fontId="26" fillId="13" borderId="45" xfId="0" applyNumberFormat="1" applyFont="1" applyFill="1" applyBorder="1"/>
    <xf numFmtId="43" fontId="26" fillId="13" borderId="46" xfId="0" applyNumberFormat="1" applyFont="1" applyFill="1" applyBorder="1"/>
    <xf numFmtId="43" fontId="26" fillId="13" borderId="51" xfId="0" applyNumberFormat="1" applyFont="1" applyFill="1" applyBorder="1"/>
    <xf numFmtId="43" fontId="23" fillId="4" borderId="26" xfId="0" applyNumberFormat="1" applyFont="1" applyFill="1" applyBorder="1" applyAlignment="1">
      <alignment horizontal="center" vertical="center"/>
    </xf>
    <xf numFmtId="43" fontId="23" fillId="14" borderId="7" xfId="0" applyNumberFormat="1" applyFont="1" applyFill="1" applyBorder="1"/>
    <xf numFmtId="43" fontId="27" fillId="13" borderId="40" xfId="0" applyNumberFormat="1" applyFont="1" applyFill="1" applyBorder="1" applyAlignment="1">
      <alignment horizontal="center" vertical="center" wrapText="1"/>
    </xf>
    <xf numFmtId="43" fontId="27" fillId="13" borderId="41" xfId="0" applyNumberFormat="1" applyFont="1" applyFill="1" applyBorder="1" applyAlignment="1">
      <alignment horizontal="center" vertical="center" wrapText="1"/>
    </xf>
    <xf numFmtId="43" fontId="27" fillId="13" borderId="42" xfId="0" applyNumberFormat="1" applyFont="1" applyFill="1" applyBorder="1" applyAlignment="1">
      <alignment horizontal="center" vertical="center" wrapText="1"/>
    </xf>
    <xf numFmtId="43" fontId="23" fillId="13" borderId="45" xfId="0" applyNumberFormat="1" applyFont="1" applyFill="1" applyBorder="1" applyAlignment="1">
      <alignment horizontal="center" vertical="center"/>
    </xf>
    <xf numFmtId="43" fontId="23" fillId="13" borderId="46" xfId="0" applyNumberFormat="1" applyFont="1" applyFill="1" applyBorder="1" applyAlignment="1">
      <alignment horizontal="center"/>
    </xf>
    <xf numFmtId="43" fontId="23" fillId="13" borderId="46" xfId="0" applyNumberFormat="1" applyFont="1" applyFill="1" applyBorder="1" applyAlignment="1">
      <alignment horizontal="center" vertical="center"/>
    </xf>
    <xf numFmtId="43" fontId="16" fillId="13" borderId="32" xfId="0" applyNumberFormat="1" applyFont="1" applyFill="1" applyBorder="1" applyAlignment="1">
      <alignment horizontal="center"/>
    </xf>
    <xf numFmtId="43" fontId="23" fillId="13" borderId="45" xfId="0" applyNumberFormat="1" applyFont="1" applyFill="1" applyBorder="1" applyAlignment="1">
      <alignment horizontal="center" vertical="top"/>
    </xf>
    <xf numFmtId="43" fontId="23" fillId="4" borderId="44" xfId="0" applyNumberFormat="1" applyFont="1" applyFill="1" applyBorder="1" applyAlignment="1">
      <alignment horizontal="center" vertical="top"/>
    </xf>
    <xf numFmtId="43" fontId="23" fillId="4" borderId="33" xfId="0" applyNumberFormat="1" applyFont="1" applyFill="1" applyBorder="1" applyAlignment="1">
      <alignment horizontal="center" vertical="center"/>
    </xf>
    <xf numFmtId="43" fontId="23" fillId="4" borderId="35" xfId="0" applyNumberFormat="1" applyFont="1" applyFill="1" applyBorder="1" applyAlignment="1">
      <alignment horizontal="center"/>
    </xf>
    <xf numFmtId="43" fontId="23" fillId="4" borderId="35" xfId="0" applyNumberFormat="1" applyFont="1" applyFill="1" applyBorder="1" applyAlignment="1">
      <alignment horizontal="center" vertical="center"/>
    </xf>
    <xf numFmtId="43" fontId="23" fillId="4" borderId="36" xfId="0" applyNumberFormat="1" applyFont="1" applyFill="1" applyBorder="1" applyAlignment="1">
      <alignment horizontal="center"/>
    </xf>
    <xf numFmtId="43" fontId="23" fillId="4" borderId="71" xfId="0" applyNumberFormat="1" applyFont="1" applyFill="1" applyBorder="1" applyAlignment="1">
      <alignment horizontal="center" vertical="center"/>
    </xf>
    <xf numFmtId="43" fontId="23" fillId="4" borderId="68" xfId="0" applyNumberFormat="1" applyFont="1" applyFill="1" applyBorder="1" applyAlignment="1">
      <alignment horizontal="center"/>
    </xf>
    <xf numFmtId="43" fontId="23" fillId="4" borderId="69" xfId="0" applyNumberFormat="1" applyFont="1" applyFill="1" applyBorder="1" applyAlignment="1">
      <alignment horizontal="center"/>
    </xf>
    <xf numFmtId="43" fontId="23" fillId="4" borderId="33" xfId="0" applyNumberFormat="1" applyFont="1" applyFill="1" applyBorder="1" applyAlignment="1">
      <alignment horizontal="center" vertical="top"/>
    </xf>
    <xf numFmtId="43" fontId="23" fillId="4" borderId="71" xfId="0" applyNumberFormat="1" applyFont="1" applyFill="1" applyBorder="1" applyAlignment="1">
      <alignment horizontal="center" vertical="top"/>
    </xf>
    <xf numFmtId="43" fontId="28" fillId="4" borderId="44" xfId="0" applyNumberFormat="1" applyFont="1" applyFill="1" applyBorder="1" applyAlignment="1">
      <alignment horizontal="center"/>
    </xf>
    <xf numFmtId="43" fontId="23" fillId="13" borderId="45" xfId="0" applyNumberFormat="1" applyFont="1" applyFill="1" applyBorder="1" applyAlignment="1">
      <alignment horizontal="center"/>
    </xf>
    <xf numFmtId="43" fontId="23" fillId="13" borderId="55" xfId="0" applyNumberFormat="1" applyFont="1" applyFill="1" applyBorder="1" applyAlignment="1">
      <alignment horizontal="center"/>
    </xf>
    <xf numFmtId="43" fontId="23" fillId="13" borderId="56" xfId="0" applyNumberFormat="1" applyFont="1" applyFill="1" applyBorder="1" applyAlignment="1">
      <alignment horizontal="center"/>
    </xf>
    <xf numFmtId="43" fontId="23" fillId="13" borderId="56" xfId="0" applyNumberFormat="1" applyFont="1" applyFill="1" applyBorder="1" applyAlignment="1">
      <alignment horizontal="center" vertical="center"/>
    </xf>
    <xf numFmtId="43" fontId="16" fillId="13" borderId="56" xfId="0" applyNumberFormat="1" applyFont="1" applyFill="1" applyBorder="1" applyAlignment="1">
      <alignment horizontal="center" vertical="center"/>
    </xf>
    <xf numFmtId="43" fontId="16" fillId="13" borderId="39" xfId="0" applyNumberFormat="1" applyFont="1" applyFill="1" applyBorder="1" applyAlignment="1">
      <alignment horizontal="center" vertical="center"/>
    </xf>
    <xf numFmtId="43" fontId="16" fillId="13" borderId="46" xfId="0" applyNumberFormat="1" applyFont="1" applyFill="1" applyBorder="1" applyAlignment="1">
      <alignment horizontal="center"/>
    </xf>
    <xf numFmtId="43" fontId="16" fillId="13" borderId="46" xfId="0" applyNumberFormat="1" applyFont="1" applyFill="1" applyBorder="1" applyAlignment="1">
      <alignment horizontal="right"/>
    </xf>
    <xf numFmtId="43" fontId="23" fillId="4" borderId="37" xfId="0" applyNumberFormat="1" applyFont="1" applyFill="1" applyBorder="1" applyAlignment="1">
      <alignment horizontal="center" vertical="center"/>
    </xf>
    <xf numFmtId="43" fontId="23" fillId="4" borderId="72" xfId="0" applyNumberFormat="1" applyFont="1" applyFill="1" applyBorder="1" applyAlignment="1">
      <alignment horizontal="center" vertical="top"/>
    </xf>
    <xf numFmtId="43" fontId="23" fillId="4" borderId="26" xfId="0" applyNumberFormat="1" applyFont="1" applyFill="1" applyBorder="1" applyAlignment="1">
      <alignment horizontal="center"/>
    </xf>
    <xf numFmtId="43" fontId="23" fillId="4" borderId="54" xfId="0" applyNumberFormat="1" applyFont="1" applyFill="1" applyBorder="1" applyAlignment="1">
      <alignment horizontal="center"/>
    </xf>
    <xf numFmtId="43" fontId="16" fillId="13" borderId="32" xfId="0" applyNumberFormat="1" applyFont="1" applyFill="1" applyBorder="1" applyAlignment="1">
      <alignment horizontal="center" vertical="center"/>
    </xf>
    <xf numFmtId="43" fontId="23" fillId="4" borderId="38" xfId="0" applyNumberFormat="1" applyFont="1" applyFill="1" applyBorder="1" applyAlignment="1">
      <alignment horizontal="center" vertical="center"/>
    </xf>
    <xf numFmtId="43" fontId="23" fillId="4" borderId="72" xfId="0" applyNumberFormat="1" applyFont="1" applyFill="1" applyBorder="1" applyAlignment="1">
      <alignment horizontal="center" vertical="center"/>
    </xf>
    <xf numFmtId="43" fontId="28" fillId="4" borderId="33" xfId="0" applyNumberFormat="1" applyFont="1" applyFill="1" applyBorder="1" applyAlignment="1">
      <alignment horizontal="center"/>
    </xf>
    <xf numFmtId="43" fontId="23" fillId="4" borderId="35" xfId="0" applyNumberFormat="1" applyFont="1" applyFill="1" applyBorder="1"/>
    <xf numFmtId="43" fontId="23" fillId="4" borderId="36" xfId="0" applyNumberFormat="1" applyFont="1" applyFill="1" applyBorder="1"/>
    <xf numFmtId="43" fontId="16" fillId="13" borderId="51" xfId="0" applyNumberFormat="1" applyFont="1" applyFill="1" applyBorder="1" applyAlignment="1">
      <alignment horizontal="right"/>
    </xf>
    <xf numFmtId="43" fontId="23" fillId="13" borderId="46" xfId="0" applyNumberFormat="1" applyFont="1" applyFill="1" applyBorder="1" applyAlignment="1">
      <alignment horizontal="center" vertical="top"/>
    </xf>
    <xf numFmtId="166" fontId="4" fillId="0" borderId="16" xfId="3" applyNumberFormat="1" applyFont="1" applyFill="1" applyBorder="1" applyAlignment="1" applyProtection="1">
      <alignment horizontal="right" vertical="top" wrapText="1"/>
    </xf>
    <xf numFmtId="0" fontId="5" fillId="8" borderId="28" xfId="0" applyFont="1" applyFill="1" applyBorder="1" applyAlignment="1">
      <alignment horizontal="center" vertical="center" wrapText="1"/>
    </xf>
    <xf numFmtId="4" fontId="5" fillId="8" borderId="28" xfId="0" applyNumberFormat="1" applyFont="1" applyFill="1" applyBorder="1" applyAlignment="1">
      <alignment horizontal="center" vertical="center" wrapText="1"/>
    </xf>
    <xf numFmtId="43" fontId="5" fillId="8" borderId="28" xfId="0" applyNumberFormat="1" applyFont="1" applyFill="1" applyBorder="1" applyAlignment="1">
      <alignment horizontal="center" vertical="center" wrapText="1"/>
    </xf>
    <xf numFmtId="0" fontId="38" fillId="0" borderId="0" xfId="0" applyFont="1"/>
    <xf numFmtId="43" fontId="41" fillId="15" borderId="21" xfId="1" applyFont="1" applyFill="1" applyBorder="1" applyAlignment="1">
      <alignment horizontal="left"/>
    </xf>
    <xf numFmtId="43" fontId="42" fillId="15" borderId="0" xfId="1" applyFont="1" applyFill="1" applyBorder="1" applyAlignment="1">
      <alignment horizontal="right"/>
    </xf>
    <xf numFmtId="43" fontId="41" fillId="15" borderId="21" xfId="1" applyFont="1" applyFill="1" applyBorder="1" applyAlignment="1">
      <alignment horizontal="justify"/>
    </xf>
    <xf numFmtId="0" fontId="19" fillId="0" borderId="0" xfId="0" applyFont="1"/>
    <xf numFmtId="0" fontId="19" fillId="0" borderId="0" xfId="0" applyFont="1" applyAlignment="1">
      <alignment horizontal="right"/>
    </xf>
    <xf numFmtId="40" fontId="19" fillId="0" borderId="0" xfId="0" applyNumberFormat="1" applyFont="1"/>
    <xf numFmtId="1" fontId="19" fillId="0" borderId="0" xfId="0" applyNumberFormat="1" applyFont="1"/>
    <xf numFmtId="0" fontId="42" fillId="0" borderId="0" xfId="0" applyFont="1" applyAlignment="1">
      <alignment horizontal="right"/>
    </xf>
    <xf numFmtId="43" fontId="43" fillId="15" borderId="15" xfId="1" applyFont="1" applyFill="1" applyBorder="1" applyAlignment="1" applyProtection="1">
      <alignment horizontal="right"/>
    </xf>
    <xf numFmtId="43" fontId="43" fillId="4" borderId="17" xfId="1" applyFont="1" applyFill="1" applyBorder="1" applyAlignment="1" applyProtection="1">
      <alignment horizontal="right"/>
    </xf>
    <xf numFmtId="43" fontId="43" fillId="15" borderId="17" xfId="1" applyFont="1" applyFill="1" applyBorder="1" applyAlignment="1" applyProtection="1">
      <alignment horizontal="right"/>
    </xf>
    <xf numFmtId="165" fontId="40" fillId="15" borderId="16" xfId="1" applyNumberFormat="1" applyFont="1" applyFill="1" applyBorder="1" applyAlignment="1">
      <alignment horizontal="center"/>
    </xf>
    <xf numFmtId="165" fontId="40" fillId="15" borderId="16" xfId="1" applyNumberFormat="1" applyFont="1" applyFill="1" applyBorder="1" applyAlignment="1">
      <alignment horizontal="center" vertical="justify"/>
    </xf>
    <xf numFmtId="0" fontId="19" fillId="0" borderId="0" xfId="0" applyFont="1" applyAlignment="1">
      <alignment horizontal="center"/>
    </xf>
    <xf numFmtId="0" fontId="38" fillId="0" borderId="0" xfId="0" applyFont="1" applyAlignment="1">
      <alignment horizontal="center"/>
    </xf>
    <xf numFmtId="0" fontId="38" fillId="4" borderId="0" xfId="0" applyFont="1" applyFill="1" applyAlignment="1">
      <alignment horizontal="center"/>
    </xf>
    <xf numFmtId="0" fontId="38" fillId="4" borderId="0" xfId="0" applyFont="1" applyFill="1"/>
    <xf numFmtId="0" fontId="42" fillId="4" borderId="0" xfId="0" applyFont="1" applyFill="1" applyAlignment="1">
      <alignment horizontal="right"/>
    </xf>
    <xf numFmtId="0" fontId="37" fillId="4" borderId="3" xfId="0" applyFont="1" applyFill="1" applyBorder="1" applyAlignment="1">
      <alignment horizontal="center" vertical="center" wrapText="1"/>
    </xf>
    <xf numFmtId="0" fontId="37" fillId="4" borderId="0" xfId="0" applyFont="1" applyFill="1" applyAlignment="1">
      <alignment horizontal="center" vertical="center" wrapText="1"/>
    </xf>
    <xf numFmtId="43" fontId="39" fillId="7" borderId="30" xfId="1" applyFont="1" applyFill="1" applyBorder="1" applyAlignment="1">
      <alignment horizontal="center"/>
    </xf>
    <xf numFmtId="43" fontId="39" fillId="7" borderId="28" xfId="1" applyFont="1" applyFill="1" applyBorder="1" applyAlignment="1">
      <alignment horizontal="center"/>
    </xf>
    <xf numFmtId="43" fontId="43" fillId="7" borderId="28" xfId="1" applyFont="1" applyFill="1" applyBorder="1" applyAlignment="1" applyProtection="1">
      <alignment horizontal="right"/>
    </xf>
    <xf numFmtId="0" fontId="46" fillId="4" borderId="0" xfId="0" applyFont="1" applyFill="1" applyAlignment="1">
      <alignment horizontal="center" vertical="center" wrapText="1"/>
    </xf>
    <xf numFmtId="0" fontId="46" fillId="4" borderId="3" xfId="0" applyFont="1" applyFill="1" applyBorder="1" applyAlignment="1">
      <alignment horizontal="center" vertical="center" wrapText="1"/>
    </xf>
    <xf numFmtId="0" fontId="19" fillId="4" borderId="0" xfId="0" applyFont="1" applyFill="1" applyAlignment="1">
      <alignment horizontal="center"/>
    </xf>
    <xf numFmtId="43" fontId="41" fillId="15" borderId="15" xfId="1" applyFont="1" applyFill="1" applyBorder="1" applyAlignment="1" applyProtection="1">
      <alignment horizontal="center"/>
    </xf>
    <xf numFmtId="43" fontId="41" fillId="4" borderId="17" xfId="1" applyFont="1" applyFill="1" applyBorder="1" applyAlignment="1" applyProtection="1">
      <alignment horizontal="center"/>
    </xf>
    <xf numFmtId="43" fontId="41" fillId="15" borderId="17" xfId="1" applyFont="1" applyFill="1" applyBorder="1" applyAlignment="1" applyProtection="1">
      <alignment horizontal="center"/>
    </xf>
    <xf numFmtId="43" fontId="41" fillId="7" borderId="28" xfId="1" applyFont="1" applyFill="1" applyBorder="1" applyAlignment="1" applyProtection="1">
      <alignment horizontal="center"/>
    </xf>
    <xf numFmtId="40" fontId="19" fillId="0" borderId="0" xfId="0" applyNumberFormat="1" applyFont="1" applyAlignment="1">
      <alignment horizontal="center"/>
    </xf>
    <xf numFmtId="1" fontId="19" fillId="0" borderId="0" xfId="0" applyNumberFormat="1" applyFont="1" applyAlignment="1">
      <alignment horizontal="center"/>
    </xf>
    <xf numFmtId="43" fontId="5" fillId="7" borderId="31" xfId="0" applyNumberFormat="1" applyFont="1" applyFill="1" applyBorder="1" applyAlignment="1" applyProtection="1">
      <alignment vertical="center"/>
      <protection locked="0" hidden="1"/>
    </xf>
    <xf numFmtId="43" fontId="5" fillId="7" borderId="1" xfId="0" applyNumberFormat="1" applyFont="1" applyFill="1" applyBorder="1" applyAlignment="1" applyProtection="1">
      <alignment vertical="center"/>
      <protection locked="0" hidden="1"/>
    </xf>
    <xf numFmtId="43" fontId="5" fillId="7" borderId="15" xfId="0" applyNumberFormat="1" applyFont="1" applyFill="1" applyBorder="1" applyAlignment="1" applyProtection="1">
      <alignment vertical="center"/>
      <protection locked="0" hidden="1"/>
    </xf>
    <xf numFmtId="43" fontId="5" fillId="7" borderId="20" xfId="0" applyNumberFormat="1" applyFont="1" applyFill="1" applyBorder="1" applyAlignment="1" applyProtection="1">
      <alignment vertical="center"/>
      <protection locked="0" hidden="1"/>
    </xf>
    <xf numFmtId="43" fontId="5" fillId="7" borderId="31" xfId="27" applyFont="1" applyFill="1" applyBorder="1" applyAlignment="1">
      <alignment vertical="center"/>
    </xf>
    <xf numFmtId="43" fontId="5" fillId="7" borderId="1" xfId="27" applyFont="1" applyFill="1" applyBorder="1" applyAlignment="1">
      <alignment vertical="center"/>
    </xf>
    <xf numFmtId="43" fontId="4" fillId="13" borderId="45" xfId="0" applyNumberFormat="1" applyFont="1" applyFill="1" applyBorder="1" applyAlignment="1">
      <alignment horizontal="right"/>
    </xf>
    <xf numFmtId="43" fontId="4" fillId="13" borderId="46" xfId="0" applyNumberFormat="1" applyFont="1" applyFill="1" applyBorder="1" applyAlignment="1">
      <alignment horizontal="right"/>
    </xf>
    <xf numFmtId="43" fontId="5" fillId="13" borderId="46" xfId="0" applyNumberFormat="1" applyFont="1" applyFill="1" applyBorder="1" applyAlignment="1">
      <alignment horizontal="right"/>
    </xf>
    <xf numFmtId="43" fontId="0" fillId="9" borderId="45" xfId="0" applyNumberFormat="1" applyFill="1" applyBorder="1"/>
    <xf numFmtId="43" fontId="0" fillId="9" borderId="46" xfId="0" applyNumberFormat="1" applyFill="1" applyBorder="1"/>
    <xf numFmtId="43" fontId="5" fillId="13" borderId="43" xfId="0" applyNumberFormat="1" applyFont="1" applyFill="1" applyBorder="1"/>
    <xf numFmtId="43" fontId="0" fillId="13" borderId="45" xfId="0" applyNumberFormat="1" applyFill="1" applyBorder="1"/>
    <xf numFmtId="43" fontId="0" fillId="13" borderId="46" xfId="0" applyNumberFormat="1" applyFill="1" applyBorder="1"/>
    <xf numFmtId="43" fontId="0" fillId="13" borderId="32" xfId="0" applyNumberFormat="1" applyFill="1" applyBorder="1" applyAlignment="1">
      <alignment horizontal="center"/>
    </xf>
    <xf numFmtId="43" fontId="5" fillId="13" borderId="41" xfId="0" applyNumberFormat="1" applyFont="1" applyFill="1" applyBorder="1" applyAlignment="1">
      <alignment horizontal="right"/>
    </xf>
    <xf numFmtId="43" fontId="5" fillId="13" borderId="60" xfId="0" applyNumberFormat="1" applyFont="1" applyFill="1" applyBorder="1" applyAlignment="1">
      <alignment horizontal="right"/>
    </xf>
    <xf numFmtId="43" fontId="31" fillId="13" borderId="45" xfId="0" applyNumberFormat="1" applyFont="1" applyFill="1" applyBorder="1"/>
    <xf numFmtId="43" fontId="4" fillId="13" borderId="32" xfId="0" applyNumberFormat="1" applyFont="1" applyFill="1" applyBorder="1" applyAlignment="1">
      <alignment horizontal="right"/>
    </xf>
    <xf numFmtId="43" fontId="0" fillId="13" borderId="40" xfId="0" applyNumberFormat="1" applyFill="1" applyBorder="1" applyAlignment="1">
      <alignment horizontal="center" vertical="center"/>
    </xf>
    <xf numFmtId="43" fontId="0" fillId="13" borderId="41" xfId="0" applyNumberFormat="1" applyFill="1" applyBorder="1" applyAlignment="1">
      <alignment horizontal="center" vertical="center"/>
    </xf>
    <xf numFmtId="43" fontId="0" fillId="13" borderId="42" xfId="0" applyNumberFormat="1" applyFill="1" applyBorder="1" applyAlignment="1">
      <alignment horizontal="center" vertical="center"/>
    </xf>
    <xf numFmtId="43" fontId="4" fillId="13" borderId="41" xfId="0" applyNumberFormat="1" applyFont="1" applyFill="1" applyBorder="1" applyAlignment="1">
      <alignment horizontal="center" vertical="center"/>
    </xf>
    <xf numFmtId="43" fontId="4" fillId="13" borderId="42" xfId="0" applyNumberFormat="1" applyFont="1" applyFill="1" applyBorder="1" applyAlignment="1">
      <alignment horizontal="center" vertical="center"/>
    </xf>
    <xf numFmtId="43" fontId="0" fillId="13" borderId="61" xfId="0" applyNumberFormat="1" applyFill="1" applyBorder="1" applyAlignment="1">
      <alignment horizontal="center"/>
    </xf>
    <xf numFmtId="43" fontId="20" fillId="9" borderId="41" xfId="0" applyNumberFormat="1" applyFont="1" applyFill="1" applyBorder="1"/>
    <xf numFmtId="43" fontId="30" fillId="9" borderId="41" xfId="0" applyNumberFormat="1" applyFont="1" applyFill="1" applyBorder="1"/>
    <xf numFmtId="43" fontId="20" fillId="9" borderId="40" xfId="0" applyNumberFormat="1" applyFont="1" applyFill="1" applyBorder="1"/>
    <xf numFmtId="43" fontId="20" fillId="9" borderId="61" xfId="0" applyNumberFormat="1" applyFont="1" applyFill="1" applyBorder="1"/>
    <xf numFmtId="2" fontId="23" fillId="10" borderId="29" xfId="0" applyNumberFormat="1" applyFont="1" applyFill="1" applyBorder="1"/>
    <xf numFmtId="0" fontId="16" fillId="9" borderId="45" xfId="0" applyFont="1" applyFill="1" applyBorder="1" applyAlignment="1">
      <alignment horizontal="left"/>
    </xf>
    <xf numFmtId="0" fontId="23" fillId="9" borderId="46" xfId="0" applyFont="1" applyFill="1" applyBorder="1" applyAlignment="1">
      <alignment horizontal="center"/>
    </xf>
    <xf numFmtId="2" fontId="23" fillId="9" borderId="46" xfId="0" applyNumberFormat="1" applyFont="1" applyFill="1" applyBorder="1" applyAlignment="1">
      <alignment horizontal="center"/>
    </xf>
    <xf numFmtId="0" fontId="23" fillId="9" borderId="46" xfId="0" applyFont="1" applyFill="1" applyBorder="1" applyAlignment="1">
      <alignment horizontal="center" vertical="center"/>
    </xf>
    <xf numFmtId="168" fontId="23" fillId="9" borderId="46" xfId="0" applyNumberFormat="1" applyFont="1" applyFill="1" applyBorder="1" applyAlignment="1">
      <alignment horizontal="center"/>
    </xf>
    <xf numFmtId="0" fontId="23" fillId="9" borderId="46" xfId="0" applyFont="1" applyFill="1" applyBorder="1"/>
    <xf numFmtId="168" fontId="23" fillId="9" borderId="46" xfId="0" applyNumberFormat="1" applyFont="1" applyFill="1" applyBorder="1"/>
    <xf numFmtId="0" fontId="16" fillId="13" borderId="1" xfId="0" applyFont="1" applyFill="1" applyBorder="1" applyAlignment="1">
      <alignment horizontal="center" vertical="center" wrapText="1"/>
    </xf>
    <xf numFmtId="2" fontId="16" fillId="13" borderId="1" xfId="0" applyNumberFormat="1" applyFont="1" applyFill="1" applyBorder="1" applyAlignment="1">
      <alignment horizontal="center" vertical="center" wrapText="1"/>
    </xf>
    <xf numFmtId="168" fontId="16" fillId="13" borderId="1" xfId="0" applyNumberFormat="1" applyFont="1" applyFill="1" applyBorder="1" applyAlignment="1">
      <alignment horizontal="center" vertical="center" wrapText="1"/>
    </xf>
    <xf numFmtId="43" fontId="16" fillId="13" borderId="1" xfId="0" applyNumberFormat="1" applyFont="1" applyFill="1" applyBorder="1" applyAlignment="1">
      <alignment horizontal="center" vertical="center"/>
    </xf>
    <xf numFmtId="43" fontId="16" fillId="13" borderId="1" xfId="0" applyNumberFormat="1" applyFont="1" applyFill="1" applyBorder="1" applyAlignment="1">
      <alignment horizontal="center" vertical="center" wrapText="1"/>
    </xf>
    <xf numFmtId="43" fontId="23" fillId="14" borderId="0" xfId="0" applyNumberFormat="1" applyFont="1" applyFill="1" applyAlignment="1">
      <alignment horizontal="center" vertical="center"/>
    </xf>
    <xf numFmtId="43" fontId="23" fillId="14" borderId="3" xfId="0" applyNumberFormat="1" applyFont="1" applyFill="1" applyBorder="1" applyAlignment="1">
      <alignment horizontal="center" vertical="center"/>
    </xf>
    <xf numFmtId="43" fontId="23" fillId="14" borderId="0" xfId="0" applyNumberFormat="1" applyFont="1" applyFill="1" applyAlignment="1">
      <alignment horizontal="center"/>
    </xf>
    <xf numFmtId="43" fontId="23" fillId="14" borderId="8" xfId="0" applyNumberFormat="1" applyFont="1" applyFill="1" applyBorder="1" applyAlignment="1">
      <alignment horizontal="center"/>
    </xf>
    <xf numFmtId="43" fontId="16" fillId="14" borderId="4" xfId="0" applyNumberFormat="1" applyFont="1" applyFill="1" applyBorder="1"/>
    <xf numFmtId="43" fontId="23" fillId="14" borderId="3" xfId="0" applyNumberFormat="1" applyFont="1" applyFill="1" applyBorder="1" applyAlignment="1">
      <alignment horizontal="center"/>
    </xf>
    <xf numFmtId="43" fontId="23" fillId="14" borderId="5" xfId="0" applyNumberFormat="1" applyFont="1" applyFill="1" applyBorder="1" applyAlignment="1">
      <alignment horizontal="center"/>
    </xf>
    <xf numFmtId="43" fontId="23" fillId="9" borderId="31" xfId="0" applyNumberFormat="1" applyFont="1" applyFill="1" applyBorder="1" applyAlignment="1">
      <alignment horizontal="center"/>
    </xf>
    <xf numFmtId="43" fontId="23" fillId="9" borderId="26" xfId="0" applyNumberFormat="1" applyFont="1" applyFill="1" applyBorder="1" applyAlignment="1">
      <alignment horizontal="center"/>
    </xf>
    <xf numFmtId="43" fontId="23" fillId="9" borderId="1" xfId="0" applyNumberFormat="1" applyFont="1" applyFill="1" applyBorder="1" applyAlignment="1">
      <alignment horizontal="center"/>
    </xf>
    <xf numFmtId="43" fontId="23" fillId="9" borderId="62" xfId="0" applyNumberFormat="1" applyFont="1" applyFill="1" applyBorder="1" applyAlignment="1">
      <alignment horizontal="center"/>
    </xf>
    <xf numFmtId="43" fontId="23" fillId="9" borderId="8" xfId="0" applyNumberFormat="1" applyFont="1" applyFill="1" applyBorder="1" applyAlignment="1">
      <alignment horizontal="center"/>
    </xf>
    <xf numFmtId="43" fontId="23" fillId="9" borderId="5" xfId="0" applyNumberFormat="1" applyFont="1" applyFill="1" applyBorder="1" applyAlignment="1">
      <alignment horizontal="center"/>
    </xf>
    <xf numFmtId="0" fontId="23" fillId="9" borderId="0" xfId="0" applyFont="1" applyFill="1"/>
    <xf numFmtId="0" fontId="23" fillId="9" borderId="0" xfId="0" applyFont="1" applyFill="1" applyAlignment="1">
      <alignment horizontal="center"/>
    </xf>
    <xf numFmtId="43" fontId="16" fillId="13" borderId="28" xfId="0" applyNumberFormat="1" applyFont="1" applyFill="1" applyBorder="1" applyAlignment="1">
      <alignment horizontal="center"/>
    </xf>
    <xf numFmtId="43" fontId="16" fillId="14" borderId="28" xfId="0" applyNumberFormat="1" applyFont="1" applyFill="1" applyBorder="1"/>
    <xf numFmtId="43" fontId="23" fillId="14" borderId="28" xfId="0" applyNumberFormat="1" applyFont="1" applyFill="1" applyBorder="1"/>
    <xf numFmtId="2" fontId="16" fillId="14" borderId="26" xfId="0" applyNumberFormat="1" applyFont="1" applyFill="1" applyBorder="1"/>
    <xf numFmtId="2" fontId="23" fillId="14" borderId="26" xfId="0" applyNumberFormat="1" applyFont="1" applyFill="1" applyBorder="1"/>
    <xf numFmtId="2" fontId="23" fillId="14" borderId="1" xfId="0" applyNumberFormat="1" applyFont="1" applyFill="1" applyBorder="1"/>
    <xf numFmtId="0" fontId="23" fillId="14" borderId="30" xfId="0" applyFont="1" applyFill="1" applyBorder="1"/>
    <xf numFmtId="0" fontId="23" fillId="14" borderId="52" xfId="0" applyFont="1" applyFill="1" applyBorder="1"/>
    <xf numFmtId="0" fontId="23" fillId="14" borderId="63" xfId="0" applyFont="1" applyFill="1" applyBorder="1"/>
    <xf numFmtId="43" fontId="23" fillId="9" borderId="28" xfId="0" applyNumberFormat="1" applyFont="1" applyFill="1" applyBorder="1"/>
    <xf numFmtId="43" fontId="23" fillId="5" borderId="28" xfId="0" applyNumberFormat="1" applyFont="1" applyFill="1" applyBorder="1"/>
    <xf numFmtId="43" fontId="16" fillId="4" borderId="30" xfId="0" applyNumberFormat="1" applyFont="1" applyFill="1" applyBorder="1"/>
    <xf numFmtId="43" fontId="23" fillId="4" borderId="52" xfId="0" applyNumberFormat="1" applyFont="1" applyFill="1" applyBorder="1" applyAlignment="1">
      <alignment horizontal="center"/>
    </xf>
    <xf numFmtId="43" fontId="23" fillId="4" borderId="52" xfId="0" applyNumberFormat="1" applyFont="1" applyFill="1" applyBorder="1" applyAlignment="1">
      <alignment horizontal="center" vertical="center"/>
    </xf>
    <xf numFmtId="0" fontId="23" fillId="4" borderId="52" xfId="0" applyFont="1" applyFill="1" applyBorder="1"/>
    <xf numFmtId="168" fontId="23" fillId="4" borderId="52" xfId="0" applyNumberFormat="1" applyFont="1" applyFill="1" applyBorder="1"/>
    <xf numFmtId="0" fontId="23" fillId="4" borderId="63" xfId="0" applyFont="1" applyFill="1" applyBorder="1"/>
    <xf numFmtId="2" fontId="23" fillId="4" borderId="0" xfId="0" applyNumberFormat="1" applyFont="1" applyFill="1"/>
    <xf numFmtId="43" fontId="23" fillId="14" borderId="2" xfId="0" applyNumberFormat="1" applyFont="1" applyFill="1" applyBorder="1" applyAlignment="1">
      <alignment horizontal="center"/>
    </xf>
    <xf numFmtId="43" fontId="23" fillId="14" borderId="7" xfId="0" applyNumberFormat="1" applyFont="1" applyFill="1" applyBorder="1" applyAlignment="1">
      <alignment horizontal="left"/>
    </xf>
    <xf numFmtId="43" fontId="16" fillId="14" borderId="7" xfId="0" applyNumberFormat="1" applyFont="1" applyFill="1" applyBorder="1"/>
    <xf numFmtId="43" fontId="16" fillId="14" borderId="17" xfId="0" applyNumberFormat="1" applyFont="1" applyFill="1" applyBorder="1" applyAlignment="1">
      <alignment horizontal="center"/>
    </xf>
    <xf numFmtId="43" fontId="23" fillId="14" borderId="19" xfId="0" applyNumberFormat="1" applyFont="1" applyFill="1" applyBorder="1" applyAlignment="1">
      <alignment horizontal="left"/>
    </xf>
    <xf numFmtId="43" fontId="16" fillId="14" borderId="19" xfId="0" applyNumberFormat="1" applyFont="1" applyFill="1" applyBorder="1"/>
    <xf numFmtId="43" fontId="23" fillId="14" borderId="19" xfId="0" applyNumberFormat="1" applyFont="1" applyFill="1" applyBorder="1"/>
    <xf numFmtId="43" fontId="16" fillId="14" borderId="20" xfId="0" applyNumberFormat="1" applyFont="1" applyFill="1" applyBorder="1" applyAlignment="1">
      <alignment horizontal="center"/>
    </xf>
    <xf numFmtId="0" fontId="23" fillId="13" borderId="73" xfId="0" applyFont="1" applyFill="1" applyBorder="1"/>
    <xf numFmtId="168" fontId="23" fillId="13" borderId="74" xfId="0" applyNumberFormat="1" applyFont="1" applyFill="1" applyBorder="1"/>
    <xf numFmtId="2" fontId="16" fillId="13" borderId="28" xfId="0" applyNumberFormat="1" applyFont="1" applyFill="1" applyBorder="1"/>
    <xf numFmtId="2" fontId="23" fillId="13" borderId="30" xfId="0" applyNumberFormat="1" applyFont="1" applyFill="1" applyBorder="1"/>
    <xf numFmtId="2" fontId="23" fillId="13" borderId="52" xfId="0" applyNumberFormat="1" applyFont="1" applyFill="1" applyBorder="1"/>
    <xf numFmtId="2" fontId="23" fillId="13" borderId="63" xfId="0" applyNumberFormat="1" applyFont="1" applyFill="1" applyBorder="1"/>
    <xf numFmtId="43" fontId="16" fillId="13" borderId="30" xfId="0" applyNumberFormat="1" applyFont="1" applyFill="1" applyBorder="1" applyAlignment="1">
      <alignment horizontal="center" vertical="center"/>
    </xf>
    <xf numFmtId="43" fontId="16" fillId="13" borderId="52" xfId="0" applyNumberFormat="1" applyFont="1" applyFill="1" applyBorder="1" applyAlignment="1">
      <alignment vertical="center"/>
    </xf>
    <xf numFmtId="43" fontId="16" fillId="13" borderId="52" xfId="0" applyNumberFormat="1" applyFont="1" applyFill="1" applyBorder="1" applyAlignment="1">
      <alignment horizontal="center" vertical="center"/>
    </xf>
    <xf numFmtId="43" fontId="23" fillId="13" borderId="52" xfId="0" applyNumberFormat="1" applyFont="1" applyFill="1" applyBorder="1" applyAlignment="1">
      <alignment vertical="center"/>
    </xf>
    <xf numFmtId="43" fontId="23" fillId="13" borderId="63" xfId="0" applyNumberFormat="1" applyFont="1" applyFill="1" applyBorder="1" applyAlignment="1">
      <alignment vertical="center"/>
    </xf>
    <xf numFmtId="43" fontId="23" fillId="14" borderId="24" xfId="0" applyNumberFormat="1" applyFont="1" applyFill="1" applyBorder="1" applyAlignment="1">
      <alignment horizontal="center"/>
    </xf>
    <xf numFmtId="43" fontId="23" fillId="14" borderId="14" xfId="0" applyNumberFormat="1" applyFont="1" applyFill="1" applyBorder="1" applyAlignment="1">
      <alignment horizontal="left"/>
    </xf>
    <xf numFmtId="43" fontId="16" fillId="14" borderId="14" xfId="0" applyNumberFormat="1" applyFont="1" applyFill="1" applyBorder="1"/>
    <xf numFmtId="43" fontId="23" fillId="14" borderId="14" xfId="0" applyNumberFormat="1" applyFont="1" applyFill="1" applyBorder="1"/>
    <xf numFmtId="43" fontId="16" fillId="14" borderId="15" xfId="0" applyNumberFormat="1" applyFont="1" applyFill="1" applyBorder="1" applyAlignment="1">
      <alignment horizontal="center"/>
    </xf>
    <xf numFmtId="43" fontId="23" fillId="14" borderId="25" xfId="0" applyNumberFormat="1" applyFont="1" applyFill="1" applyBorder="1" applyAlignment="1">
      <alignment horizontal="center"/>
    </xf>
    <xf numFmtId="0" fontId="0" fillId="14" borderId="14" xfId="0" applyFill="1" applyBorder="1" applyAlignment="1">
      <alignment horizontal="center" vertical="center"/>
    </xf>
    <xf numFmtId="0" fontId="0" fillId="14" borderId="22" xfId="0" applyFill="1" applyBorder="1" applyAlignment="1">
      <alignment horizontal="center" vertical="center"/>
    </xf>
    <xf numFmtId="0" fontId="0" fillId="14" borderId="24" xfId="0" applyFill="1" applyBorder="1" applyAlignment="1">
      <alignment horizontal="center" vertical="center"/>
    </xf>
    <xf numFmtId="2" fontId="0" fillId="14" borderId="14" xfId="0" applyNumberFormat="1" applyFill="1" applyBorder="1" applyAlignment="1">
      <alignment horizontal="center" vertical="center"/>
    </xf>
    <xf numFmtId="2" fontId="0" fillId="14" borderId="22" xfId="0" applyNumberFormat="1" applyFill="1" applyBorder="1" applyAlignment="1">
      <alignment horizontal="center" vertical="center"/>
    </xf>
    <xf numFmtId="2" fontId="22" fillId="14" borderId="14" xfId="0" applyNumberFormat="1" applyFont="1" applyFill="1" applyBorder="1" applyAlignment="1">
      <alignment horizontal="center" vertical="center"/>
    </xf>
    <xf numFmtId="0" fontId="0" fillId="14" borderId="7" xfId="0" applyFill="1" applyBorder="1" applyAlignment="1">
      <alignment horizontal="center" vertical="center"/>
    </xf>
    <xf numFmtId="0" fontId="0" fillId="14" borderId="21" xfId="0" applyFill="1" applyBorder="1" applyAlignment="1">
      <alignment horizontal="center" vertical="center"/>
    </xf>
    <xf numFmtId="0" fontId="0" fillId="14" borderId="2" xfId="0" applyFill="1" applyBorder="1" applyAlignment="1">
      <alignment horizontal="center" vertical="center"/>
    </xf>
    <xf numFmtId="2" fontId="0" fillId="14" borderId="7" xfId="0" applyNumberFormat="1" applyFill="1" applyBorder="1" applyAlignment="1">
      <alignment horizontal="center" vertical="center"/>
    </xf>
    <xf numFmtId="2" fontId="0" fillId="14" borderId="21" xfId="0" applyNumberFormat="1" applyFill="1" applyBorder="1" applyAlignment="1">
      <alignment horizontal="center" vertical="center"/>
    </xf>
    <xf numFmtId="2" fontId="22" fillId="14" borderId="7" xfId="0" applyNumberFormat="1" applyFont="1" applyFill="1" applyBorder="1" applyAlignment="1">
      <alignment horizontal="center" vertical="center"/>
    </xf>
    <xf numFmtId="0" fontId="0" fillId="14" borderId="19" xfId="0" applyFill="1" applyBorder="1" applyAlignment="1">
      <alignment horizontal="center" vertical="center"/>
    </xf>
    <xf numFmtId="0" fontId="0" fillId="14" borderId="23" xfId="0" applyFill="1" applyBorder="1" applyAlignment="1">
      <alignment horizontal="center" vertical="center"/>
    </xf>
    <xf numFmtId="0" fontId="0" fillId="14" borderId="25" xfId="0" applyFill="1" applyBorder="1" applyAlignment="1">
      <alignment horizontal="center" vertical="center"/>
    </xf>
    <xf numFmtId="2" fontId="0" fillId="14" borderId="19" xfId="0" applyNumberFormat="1" applyFill="1" applyBorder="1" applyAlignment="1">
      <alignment horizontal="center" vertical="center"/>
    </xf>
    <xf numFmtId="2" fontId="0" fillId="14" borderId="23" xfId="0" applyNumberFormat="1" applyFill="1" applyBorder="1" applyAlignment="1">
      <alignment horizontal="center" vertical="center"/>
    </xf>
    <xf numFmtId="2" fontId="22" fillId="14" borderId="19" xfId="0" applyNumberFormat="1" applyFont="1" applyFill="1" applyBorder="1" applyAlignment="1">
      <alignment horizontal="center" vertical="center"/>
    </xf>
    <xf numFmtId="0" fontId="5" fillId="13" borderId="28" xfId="28" applyFont="1" applyFill="1" applyBorder="1" applyAlignment="1">
      <alignment horizontal="center" vertical="center"/>
    </xf>
    <xf numFmtId="43" fontId="0" fillId="14" borderId="19" xfId="0" applyNumberFormat="1" applyFill="1" applyBorder="1" applyAlignment="1">
      <alignment horizontal="center" vertical="center"/>
    </xf>
    <xf numFmtId="0" fontId="0" fillId="13" borderId="46" xfId="0" applyFill="1" applyBorder="1" applyAlignment="1">
      <alignment horizontal="center"/>
    </xf>
    <xf numFmtId="4" fontId="0" fillId="13" borderId="46" xfId="0" applyNumberFormat="1" applyFill="1" applyBorder="1"/>
    <xf numFmtId="0" fontId="0" fillId="13" borderId="51" xfId="0" applyFill="1" applyBorder="1"/>
    <xf numFmtId="0" fontId="4" fillId="7" borderId="4" xfId="0" applyFont="1" applyFill="1" applyBorder="1" applyAlignment="1">
      <alignment vertical="center"/>
    </xf>
    <xf numFmtId="43" fontId="0" fillId="13" borderId="71" xfId="0" applyNumberFormat="1" applyFill="1" applyBorder="1" applyAlignment="1">
      <alignment horizontal="center"/>
    </xf>
    <xf numFmtId="43" fontId="4" fillId="13" borderId="68" xfId="0" applyNumberFormat="1" applyFont="1" applyFill="1" applyBorder="1" applyAlignment="1">
      <alignment horizontal="center"/>
    </xf>
    <xf numFmtId="43" fontId="21" fillId="13" borderId="47" xfId="0" applyNumberFormat="1" applyFont="1" applyFill="1" applyBorder="1"/>
    <xf numFmtId="43" fontId="30" fillId="9" borderId="35" xfId="0" applyNumberFormat="1" applyFont="1" applyFill="1" applyBorder="1"/>
    <xf numFmtId="43" fontId="30" fillId="13" borderId="49" xfId="0" applyNumberFormat="1" applyFont="1" applyFill="1" applyBorder="1" applyAlignment="1">
      <alignment horizontal="center"/>
    </xf>
    <xf numFmtId="43" fontId="4" fillId="13" borderId="61" xfId="0" applyNumberFormat="1" applyFont="1" applyFill="1" applyBorder="1" applyAlignment="1">
      <alignment horizontal="center"/>
    </xf>
    <xf numFmtId="43" fontId="4" fillId="13" borderId="32" xfId="0" applyNumberFormat="1" applyFont="1" applyFill="1" applyBorder="1" applyAlignment="1">
      <alignment horizontal="center"/>
    </xf>
    <xf numFmtId="43" fontId="47" fillId="4" borderId="0" xfId="0" applyNumberFormat="1" applyFont="1" applyFill="1" applyAlignment="1">
      <alignment horizontal="left"/>
    </xf>
    <xf numFmtId="43" fontId="20" fillId="4" borderId="44" xfId="0" applyNumberFormat="1" applyFont="1" applyFill="1" applyBorder="1"/>
    <xf numFmtId="43" fontId="4" fillId="4" borderId="27" xfId="0" applyNumberFormat="1" applyFont="1" applyFill="1" applyBorder="1" applyAlignment="1">
      <alignment horizontal="center"/>
    </xf>
    <xf numFmtId="0" fontId="21" fillId="9" borderId="45" xfId="0" applyFont="1" applyFill="1" applyBorder="1"/>
    <xf numFmtId="0" fontId="0" fillId="9" borderId="46" xfId="0" applyFill="1" applyBorder="1"/>
    <xf numFmtId="43" fontId="5" fillId="4" borderId="0" xfId="0" applyNumberFormat="1" applyFont="1" applyFill="1" applyAlignment="1">
      <alignment vertical="center"/>
    </xf>
    <xf numFmtId="43" fontId="49" fillId="4" borderId="0" xfId="0" applyNumberFormat="1" applyFont="1" applyFill="1"/>
    <xf numFmtId="43" fontId="48" fillId="4" borderId="0" xfId="0" applyNumberFormat="1" applyFont="1" applyFill="1"/>
    <xf numFmtId="43" fontId="48" fillId="4" borderId="0" xfId="0" applyNumberFormat="1" applyFont="1" applyFill="1" applyAlignment="1">
      <alignment horizontal="center"/>
    </xf>
    <xf numFmtId="43" fontId="51" fillId="4" borderId="0" xfId="0" applyNumberFormat="1" applyFont="1" applyFill="1"/>
    <xf numFmtId="43" fontId="51" fillId="4" borderId="0" xfId="0" applyNumberFormat="1" applyFont="1" applyFill="1" applyAlignment="1">
      <alignment horizontal="center"/>
    </xf>
    <xf numFmtId="43" fontId="50" fillId="4" borderId="0" xfId="0" applyNumberFormat="1" applyFont="1" applyFill="1"/>
    <xf numFmtId="43" fontId="21" fillId="5" borderId="37" xfId="0" applyNumberFormat="1" applyFont="1" applyFill="1" applyBorder="1"/>
    <xf numFmtId="4" fontId="4" fillId="0" borderId="7" xfId="23" applyNumberFormat="1" applyFont="1" applyBorder="1" applyAlignment="1">
      <alignment horizontal="center" vertical="center"/>
    </xf>
    <xf numFmtId="0" fontId="4" fillId="0" borderId="7" xfId="23" applyFont="1" applyBorder="1" applyAlignment="1">
      <alignment horizontal="center" vertical="center"/>
    </xf>
    <xf numFmtId="43" fontId="16" fillId="13" borderId="45" xfId="0" applyNumberFormat="1" applyFont="1" applyFill="1" applyBorder="1"/>
    <xf numFmtId="43" fontId="16" fillId="13" borderId="46" xfId="0" applyNumberFormat="1" applyFont="1" applyFill="1" applyBorder="1"/>
    <xf numFmtId="43" fontId="16" fillId="13" borderId="51" xfId="0" applyNumberFormat="1" applyFont="1" applyFill="1" applyBorder="1"/>
    <xf numFmtId="0" fontId="4" fillId="0" borderId="18" xfId="0" applyFont="1" applyBorder="1" applyAlignment="1">
      <alignment horizontal="right" vertical="top"/>
    </xf>
    <xf numFmtId="43" fontId="31" fillId="13" borderId="45" xfId="0" applyNumberFormat="1" applyFont="1" applyFill="1" applyBorder="1" applyAlignment="1">
      <alignment horizontal="left"/>
    </xf>
    <xf numFmtId="43" fontId="0" fillId="4" borderId="27" xfId="0" applyNumberFormat="1" applyFill="1" applyBorder="1"/>
    <xf numFmtId="43" fontId="0" fillId="4" borderId="28" xfId="0" applyNumberFormat="1" applyFill="1" applyBorder="1" applyAlignment="1">
      <alignment horizontal="left"/>
    </xf>
    <xf numFmtId="43" fontId="21" fillId="13" borderId="32" xfId="0" applyNumberFormat="1" applyFont="1" applyFill="1" applyBorder="1"/>
    <xf numFmtId="0" fontId="20" fillId="4" borderId="0" xfId="0" applyFont="1" applyFill="1" applyAlignment="1">
      <alignment horizontal="center"/>
    </xf>
    <xf numFmtId="43" fontId="20" fillId="13" borderId="32" xfId="0" applyNumberFormat="1" applyFont="1" applyFill="1" applyBorder="1" applyAlignment="1">
      <alignment horizontal="center" vertical="center"/>
    </xf>
    <xf numFmtId="0" fontId="5" fillId="13" borderId="49" xfId="0" applyFont="1" applyFill="1" applyBorder="1" applyAlignment="1">
      <alignment horizontal="center"/>
    </xf>
    <xf numFmtId="43" fontId="1" fillId="4" borderId="37" xfId="0" applyNumberFormat="1" applyFont="1" applyFill="1" applyBorder="1"/>
    <xf numFmtId="43" fontId="1" fillId="4" borderId="38" xfId="0" applyNumberFormat="1" applyFont="1" applyFill="1" applyBorder="1"/>
    <xf numFmtId="2" fontId="5" fillId="4" borderId="44" xfId="0" applyNumberFormat="1" applyFont="1" applyFill="1" applyBorder="1"/>
    <xf numFmtId="0" fontId="5" fillId="4" borderId="27" xfId="0" applyFont="1" applyFill="1" applyBorder="1" applyAlignment="1">
      <alignment horizontal="center"/>
    </xf>
    <xf numFmtId="43" fontId="20" fillId="13" borderId="39" xfId="0" applyNumberFormat="1" applyFont="1" applyFill="1" applyBorder="1"/>
    <xf numFmtId="43" fontId="23" fillId="0" borderId="29" xfId="0" applyNumberFormat="1" applyFont="1" applyBorder="1" applyAlignment="1">
      <alignment horizontal="center"/>
    </xf>
    <xf numFmtId="4" fontId="0" fillId="14" borderId="15" xfId="0" applyNumberFormat="1" applyFill="1" applyBorder="1" applyAlignment="1">
      <alignment horizontal="center" vertical="center"/>
    </xf>
    <xf numFmtId="4" fontId="0" fillId="14" borderId="17" xfId="0" applyNumberFormat="1" applyFill="1" applyBorder="1" applyAlignment="1">
      <alignment horizontal="center" vertical="center"/>
    </xf>
    <xf numFmtId="4" fontId="0" fillId="14" borderId="20" xfId="0" applyNumberFormat="1" applyFill="1" applyBorder="1" applyAlignment="1">
      <alignment horizontal="center" vertical="center"/>
    </xf>
    <xf numFmtId="0" fontId="4" fillId="9" borderId="28" xfId="0" applyFont="1" applyFill="1" applyBorder="1" applyAlignment="1">
      <alignment horizontal="center" vertical="center"/>
    </xf>
    <xf numFmtId="43" fontId="0" fillId="14" borderId="25" xfId="0" applyNumberFormat="1" applyFill="1" applyBorder="1" applyAlignment="1">
      <alignment horizontal="center" vertical="center"/>
    </xf>
    <xf numFmtId="0" fontId="0" fillId="9" borderId="28" xfId="0" applyFill="1" applyBorder="1" applyAlignment="1">
      <alignment horizontal="center" vertical="center"/>
    </xf>
    <xf numFmtId="43" fontId="23" fillId="9" borderId="28" xfId="0" applyNumberFormat="1" applyFont="1" applyFill="1" applyBorder="1" applyAlignment="1">
      <alignment vertical="center"/>
    </xf>
    <xf numFmtId="37" fontId="23" fillId="9" borderId="28" xfId="0" applyNumberFormat="1" applyFont="1" applyFill="1" applyBorder="1" applyAlignment="1">
      <alignment horizontal="center" vertical="center"/>
    </xf>
    <xf numFmtId="43" fontId="23" fillId="9" borderId="28" xfId="0" applyNumberFormat="1" applyFont="1" applyFill="1" applyBorder="1" applyAlignment="1">
      <alignment horizontal="center" vertical="center"/>
    </xf>
    <xf numFmtId="0" fontId="4" fillId="4" borderId="7" xfId="0" applyFont="1" applyFill="1" applyBorder="1" applyAlignment="1">
      <alignment wrapText="1"/>
    </xf>
    <xf numFmtId="2" fontId="5" fillId="0" borderId="16" xfId="0" applyNumberFormat="1" applyFont="1" applyBorder="1" applyAlignment="1">
      <alignment horizontal="right" vertical="top"/>
    </xf>
    <xf numFmtId="43" fontId="38" fillId="0" borderId="0" xfId="0" applyNumberFormat="1" applyFont="1"/>
    <xf numFmtId="43" fontId="4" fillId="0" borderId="0" xfId="1" applyFont="1" applyFill="1" applyBorder="1"/>
    <xf numFmtId="43" fontId="5" fillId="0" borderId="0" xfId="27" applyFont="1" applyFill="1" applyBorder="1"/>
    <xf numFmtId="43" fontId="4" fillId="0" borderId="0" xfId="1" applyFont="1" applyFill="1" applyBorder="1" applyAlignment="1">
      <alignment horizontal="center" vertical="center"/>
    </xf>
    <xf numFmtId="43" fontId="4" fillId="0" borderId="0" xfId="1" applyFont="1" applyFill="1" applyBorder="1" applyAlignment="1">
      <alignment horizontal="center"/>
    </xf>
    <xf numFmtId="43" fontId="23" fillId="0" borderId="0" xfId="0" applyNumberFormat="1" applyFont="1" applyAlignment="1">
      <alignment horizontal="center"/>
    </xf>
    <xf numFmtId="43" fontId="23" fillId="0" borderId="52" xfId="0" applyNumberFormat="1" applyFont="1" applyBorder="1" applyAlignment="1">
      <alignment horizontal="center"/>
    </xf>
    <xf numFmtId="43" fontId="16" fillId="11" borderId="28" xfId="0" applyNumberFormat="1" applyFont="1" applyFill="1" applyBorder="1" applyAlignment="1">
      <alignment horizontal="center"/>
    </xf>
    <xf numFmtId="43" fontId="16" fillId="11" borderId="28" xfId="0" applyNumberFormat="1" applyFont="1" applyFill="1" applyBorder="1"/>
    <xf numFmtId="43" fontId="16" fillId="4" borderId="28" xfId="0" applyNumberFormat="1" applyFont="1" applyFill="1" applyBorder="1"/>
    <xf numFmtId="43" fontId="23" fillId="4" borderId="28" xfId="0" applyNumberFormat="1" applyFont="1" applyFill="1" applyBorder="1"/>
    <xf numFmtId="43" fontId="16" fillId="4" borderId="28" xfId="0" applyNumberFormat="1" applyFont="1" applyFill="1" applyBorder="1" applyAlignment="1">
      <alignment horizontal="center"/>
    </xf>
    <xf numFmtId="43" fontId="23" fillId="12" borderId="27" xfId="0" applyNumberFormat="1" applyFont="1" applyFill="1" applyBorder="1"/>
    <xf numFmtId="2" fontId="23" fillId="5" borderId="27" xfId="0" applyNumberFormat="1" applyFont="1" applyFill="1" applyBorder="1"/>
    <xf numFmtId="0" fontId="23" fillId="9" borderId="28" xfId="0" applyFont="1" applyFill="1" applyBorder="1"/>
    <xf numFmtId="0" fontId="23" fillId="9" borderId="28" xfId="0" applyFont="1" applyFill="1" applyBorder="1" applyAlignment="1">
      <alignment horizontal="center"/>
    </xf>
    <xf numFmtId="4" fontId="38" fillId="0" borderId="0" xfId="0" applyNumberFormat="1" applyFont="1"/>
    <xf numFmtId="0" fontId="0" fillId="4" borderId="47" xfId="0" applyFill="1" applyBorder="1"/>
    <xf numFmtId="0" fontId="0" fillId="4" borderId="12" xfId="0" applyFill="1" applyBorder="1"/>
    <xf numFmtId="0" fontId="44" fillId="4" borderId="44" xfId="0" applyFont="1" applyFill="1" applyBorder="1" applyAlignment="1">
      <alignment vertical="center"/>
    </xf>
    <xf numFmtId="0" fontId="44" fillId="4" borderId="0" xfId="0" applyFont="1" applyFill="1" applyAlignment="1">
      <alignment vertical="center"/>
    </xf>
    <xf numFmtId="0" fontId="54" fillId="4" borderId="44" xfId="0" applyFont="1" applyFill="1" applyBorder="1" applyAlignment="1">
      <alignment horizontal="center" vertical="center" wrapText="1" shrinkToFit="1"/>
    </xf>
    <xf numFmtId="0" fontId="54" fillId="4" borderId="0" xfId="0" applyFont="1" applyFill="1" applyAlignment="1">
      <alignment horizontal="center" vertical="center" wrapText="1" shrinkToFit="1"/>
    </xf>
    <xf numFmtId="0" fontId="54" fillId="4" borderId="12" xfId="0" applyFont="1" applyFill="1" applyBorder="1" applyAlignment="1">
      <alignment horizontal="center" vertical="center" wrapText="1" shrinkToFit="1"/>
    </xf>
    <xf numFmtId="0" fontId="39" fillId="4" borderId="44" xfId="0" applyFont="1" applyFill="1" applyBorder="1" applyAlignment="1">
      <alignment horizontal="center" vertical="center" wrapText="1" shrinkToFit="1"/>
    </xf>
    <xf numFmtId="0" fontId="39" fillId="4" borderId="0" xfId="0" applyFont="1" applyFill="1" applyAlignment="1">
      <alignment horizontal="center" vertical="center" wrapText="1" shrinkToFit="1"/>
    </xf>
    <xf numFmtId="0" fontId="39" fillId="4" borderId="12" xfId="0" applyFont="1" applyFill="1" applyBorder="1" applyAlignment="1">
      <alignment horizontal="center" vertical="center" wrapText="1" shrinkToFit="1"/>
    </xf>
    <xf numFmtId="0" fontId="45" fillId="4" borderId="44" xfId="0" applyFont="1" applyFill="1" applyBorder="1" applyAlignment="1">
      <alignment horizontal="center" vertical="center"/>
    </xf>
    <xf numFmtId="0" fontId="45" fillId="4" borderId="0" xfId="0" applyFont="1" applyFill="1" applyAlignment="1">
      <alignment horizontal="center" vertical="center"/>
    </xf>
    <xf numFmtId="4" fontId="4" fillId="0" borderId="19" xfId="1" applyNumberFormat="1" applyFont="1" applyFill="1" applyBorder="1" applyAlignment="1" applyProtection="1">
      <alignment horizontal="center" vertical="center" wrapText="1"/>
    </xf>
    <xf numFmtId="43" fontId="4" fillId="4" borderId="28" xfId="0" applyNumberFormat="1" applyFont="1" applyFill="1" applyBorder="1"/>
    <xf numFmtId="43" fontId="5" fillId="13" borderId="28" xfId="0" applyNumberFormat="1" applyFont="1" applyFill="1" applyBorder="1"/>
    <xf numFmtId="43" fontId="4" fillId="4" borderId="44" xfId="0" applyNumberFormat="1" applyFont="1" applyFill="1" applyBorder="1" applyAlignment="1">
      <alignment horizontal="center" vertical="center"/>
    </xf>
    <xf numFmtId="43" fontId="0" fillId="13" borderId="61" xfId="0" applyNumberFormat="1" applyFill="1" applyBorder="1" applyAlignment="1">
      <alignment horizontal="center" vertical="center"/>
    </xf>
    <xf numFmtId="43" fontId="4" fillId="13" borderId="32" xfId="0" applyNumberFormat="1" applyFont="1" applyFill="1" applyBorder="1" applyAlignment="1">
      <alignment horizontal="center" vertical="center"/>
    </xf>
    <xf numFmtId="43" fontId="20" fillId="4" borderId="44" xfId="0" applyNumberFormat="1" applyFont="1" applyFill="1" applyBorder="1" applyAlignment="1">
      <alignment horizontal="center"/>
    </xf>
    <xf numFmtId="43" fontId="5" fillId="4" borderId="0" xfId="0" applyNumberFormat="1" applyFont="1" applyFill="1" applyAlignment="1">
      <alignment horizontal="right"/>
    </xf>
    <xf numFmtId="43" fontId="47" fillId="4" borderId="27" xfId="0" applyNumberFormat="1" applyFont="1" applyFill="1" applyBorder="1"/>
    <xf numFmtId="43" fontId="47" fillId="4" borderId="0" xfId="0" applyNumberFormat="1" applyFont="1" applyFill="1"/>
    <xf numFmtId="43" fontId="55" fillId="4" borderId="0" xfId="0" applyNumberFormat="1" applyFont="1" applyFill="1"/>
    <xf numFmtId="43" fontId="0" fillId="4" borderId="28" xfId="0" applyNumberFormat="1" applyFill="1" applyBorder="1" applyAlignment="1">
      <alignment horizontal="right"/>
    </xf>
    <xf numFmtId="43" fontId="0" fillId="0" borderId="0" xfId="0" applyNumberFormat="1"/>
    <xf numFmtId="43" fontId="0" fillId="4" borderId="12" xfId="0" applyNumberFormat="1" applyFill="1" applyBorder="1"/>
    <xf numFmtId="43" fontId="0" fillId="0" borderId="28" xfId="0" applyNumberFormat="1" applyBorder="1"/>
    <xf numFmtId="43" fontId="47" fillId="0" borderId="0" xfId="0" applyNumberFormat="1" applyFont="1"/>
    <xf numFmtId="43" fontId="16" fillId="14" borderId="1" xfId="0" applyNumberFormat="1" applyFont="1" applyFill="1" applyBorder="1" applyAlignment="1">
      <alignment horizontal="center" vertical="center" wrapText="1"/>
    </xf>
    <xf numFmtId="43" fontId="47" fillId="16" borderId="0" xfId="0" applyNumberFormat="1" applyFont="1" applyFill="1"/>
    <xf numFmtId="0" fontId="4" fillId="0" borderId="7" xfId="23" applyFont="1" applyBorder="1" applyAlignment="1">
      <alignment horizontal="center" vertical="top"/>
    </xf>
    <xf numFmtId="4" fontId="4" fillId="0" borderId="7" xfId="23" applyNumberFormat="1" applyFont="1" applyBorder="1" applyAlignment="1">
      <alignment horizontal="center" vertical="top"/>
    </xf>
    <xf numFmtId="0" fontId="6" fillId="0" borderId="0" xfId="0" applyFont="1" applyAlignment="1">
      <alignment vertical="top"/>
    </xf>
    <xf numFmtId="0" fontId="57" fillId="4" borderId="7" xfId="0" applyFont="1" applyFill="1" applyBorder="1" applyAlignment="1">
      <alignment vertical="top" wrapText="1"/>
    </xf>
    <xf numFmtId="0" fontId="57" fillId="4" borderId="0" xfId="0" applyFont="1" applyFill="1"/>
    <xf numFmtId="0" fontId="57" fillId="4" borderId="7" xfId="0" applyFont="1" applyFill="1" applyBorder="1" applyAlignment="1">
      <alignment vertical="center" wrapText="1"/>
    </xf>
    <xf numFmtId="4" fontId="4" fillId="0" borderId="7" xfId="1" applyNumberFormat="1" applyFont="1" applyFill="1" applyBorder="1" applyAlignment="1" applyProtection="1">
      <alignment horizontal="center" vertical="top" wrapText="1"/>
    </xf>
    <xf numFmtId="0" fontId="6" fillId="4" borderId="0" xfId="0" applyFont="1" applyFill="1" applyAlignment="1">
      <alignment vertical="top"/>
    </xf>
    <xf numFmtId="0" fontId="4" fillId="4" borderId="0" xfId="0" applyFont="1" applyFill="1"/>
    <xf numFmtId="43" fontId="4" fillId="4" borderId="7" xfId="0" applyNumberFormat="1" applyFont="1" applyFill="1" applyBorder="1" applyAlignment="1">
      <alignment horizontal="center" vertical="top"/>
    </xf>
    <xf numFmtId="0" fontId="56" fillId="4" borderId="7" xfId="0" applyFont="1" applyFill="1" applyBorder="1" applyAlignment="1">
      <alignment vertical="center" wrapText="1"/>
    </xf>
    <xf numFmtId="0" fontId="57" fillId="0" borderId="7" xfId="0" applyFont="1" applyBorder="1" applyAlignment="1">
      <alignment horizontal="justify"/>
    </xf>
    <xf numFmtId="0" fontId="57" fillId="0" borderId="7" xfId="0" applyFont="1" applyBorder="1" applyAlignment="1">
      <alignment horizontal="left" vertical="top" wrapText="1"/>
    </xf>
    <xf numFmtId="43" fontId="4" fillId="4" borderId="7" xfId="0" applyNumberFormat="1" applyFont="1" applyFill="1" applyBorder="1" applyAlignment="1" applyProtection="1">
      <alignment horizontal="right"/>
      <protection locked="0" hidden="1"/>
    </xf>
    <xf numFmtId="43" fontId="57" fillId="0" borderId="7" xfId="1" applyFont="1" applyFill="1" applyBorder="1" applyAlignment="1">
      <alignment horizontal="center" vertical="center"/>
    </xf>
    <xf numFmtId="4" fontId="4" fillId="4" borderId="7" xfId="0" applyNumberFormat="1" applyFont="1" applyFill="1" applyBorder="1" applyAlignment="1">
      <alignment horizontal="center" vertical="center"/>
    </xf>
    <xf numFmtId="0" fontId="7" fillId="4" borderId="0" xfId="0" applyFont="1" applyFill="1" applyAlignment="1">
      <alignment vertical="center" wrapText="1"/>
    </xf>
    <xf numFmtId="0" fontId="57" fillId="4" borderId="0" xfId="0" applyFont="1" applyFill="1" applyAlignment="1">
      <alignment vertical="center" wrapText="1"/>
    </xf>
    <xf numFmtId="0" fontId="57" fillId="0" borderId="7" xfId="0" applyFont="1" applyBorder="1" applyAlignment="1">
      <alignment vertical="top" wrapText="1"/>
    </xf>
    <xf numFmtId="0" fontId="57" fillId="0" borderId="7" xfId="0" applyFont="1" applyBorder="1" applyAlignment="1">
      <alignment vertical="justify" wrapText="1"/>
    </xf>
    <xf numFmtId="0" fontId="5" fillId="4" borderId="0" xfId="0" applyFont="1" applyFill="1"/>
    <xf numFmtId="165" fontId="5" fillId="0" borderId="0" xfId="27" applyNumberFormat="1" applyFont="1" applyFill="1" applyBorder="1" applyAlignment="1">
      <alignment horizontal="right" vertical="justify"/>
    </xf>
    <xf numFmtId="0" fontId="4" fillId="0" borderId="0" xfId="0" applyFont="1" applyAlignment="1">
      <alignment vertical="center" wrapText="1"/>
    </xf>
    <xf numFmtId="43" fontId="5" fillId="0" borderId="0" xfId="1" applyFont="1" applyFill="1" applyBorder="1" applyAlignment="1">
      <alignment horizontal="center" vertical="center"/>
    </xf>
    <xf numFmtId="43" fontId="5" fillId="0" borderId="0" xfId="27" applyFont="1" applyFill="1" applyBorder="1" applyAlignment="1">
      <alignment horizontal="center" vertical="center"/>
    </xf>
    <xf numFmtId="43" fontId="5" fillId="0" borderId="0" xfId="1" applyFont="1" applyFill="1" applyBorder="1"/>
    <xf numFmtId="166" fontId="4" fillId="0" borderId="0" xfId="27" applyNumberFormat="1" applyFont="1" applyFill="1" applyBorder="1" applyAlignment="1">
      <alignment horizontal="right"/>
    </xf>
    <xf numFmtId="0" fontId="4" fillId="4" borderId="0" xfId="0" applyFont="1" applyFill="1" applyAlignment="1">
      <alignment wrapText="1"/>
    </xf>
    <xf numFmtId="49" fontId="4" fillId="0" borderId="0" xfId="27" applyNumberFormat="1" applyFont="1" applyFill="1" applyBorder="1" applyAlignment="1">
      <alignment horizontal="justify"/>
    </xf>
    <xf numFmtId="43" fontId="4" fillId="0" borderId="0" xfId="27" applyFont="1" applyFill="1" applyBorder="1" applyAlignment="1">
      <alignment horizontal="center" vertical="center"/>
    </xf>
    <xf numFmtId="0" fontId="4" fillId="9" borderId="0" xfId="0" applyFont="1" applyFill="1"/>
    <xf numFmtId="165" fontId="5" fillId="0" borderId="16" xfId="27" applyNumberFormat="1" applyFont="1" applyFill="1" applyBorder="1" applyAlignment="1">
      <alignment horizontal="right" vertical="justify"/>
    </xf>
    <xf numFmtId="49" fontId="5" fillId="0" borderId="7" xfId="27" quotePrefix="1" applyNumberFormat="1" applyFont="1" applyFill="1" applyBorder="1" applyAlignment="1">
      <alignment horizontal="left"/>
    </xf>
    <xf numFmtId="43" fontId="5" fillId="0" borderId="7" xfId="1" applyFont="1" applyFill="1" applyBorder="1" applyAlignment="1">
      <alignment horizontal="center" vertical="center"/>
    </xf>
    <xf numFmtId="43" fontId="5" fillId="0" borderId="7" xfId="1" applyFont="1" applyFill="1" applyBorder="1"/>
    <xf numFmtId="0" fontId="0" fillId="4" borderId="44" xfId="0" applyFill="1" applyBorder="1" applyAlignment="1">
      <alignment horizontal="center"/>
    </xf>
    <xf numFmtId="0" fontId="0" fillId="4" borderId="12" xfId="0" applyFill="1" applyBorder="1" applyAlignment="1">
      <alignment horizontal="center"/>
    </xf>
    <xf numFmtId="164" fontId="4" fillId="3" borderId="7" xfId="3" applyFont="1" applyFill="1" applyBorder="1" applyAlignment="1" applyProtection="1">
      <alignment horizontal="left" wrapText="1"/>
    </xf>
    <xf numFmtId="0" fontId="7" fillId="4" borderId="21" xfId="0" applyFont="1" applyFill="1" applyBorder="1" applyAlignment="1">
      <alignment vertical="center" wrapText="1"/>
    </xf>
    <xf numFmtId="0" fontId="4" fillId="4" borderId="21" xfId="0" applyFont="1" applyFill="1" applyBorder="1"/>
    <xf numFmtId="0" fontId="57" fillId="4" borderId="21" xfId="0" applyFont="1" applyFill="1" applyBorder="1" applyAlignment="1">
      <alignment vertical="center" wrapText="1"/>
    </xf>
    <xf numFmtId="43" fontId="41" fillId="15" borderId="21" xfId="1" applyFont="1" applyFill="1" applyBorder="1" applyAlignment="1"/>
    <xf numFmtId="43" fontId="42" fillId="15" borderId="0" xfId="1" applyFont="1" applyFill="1" applyBorder="1" applyAlignment="1"/>
    <xf numFmtId="49" fontId="41" fillId="15" borderId="21" xfId="1" applyNumberFormat="1" applyFont="1" applyFill="1" applyBorder="1" applyAlignment="1"/>
    <xf numFmtId="49" fontId="41" fillId="15" borderId="2" xfId="1" applyNumberFormat="1" applyFont="1" applyFill="1" applyBorder="1" applyAlignment="1"/>
    <xf numFmtId="0" fontId="44" fillId="4" borderId="44" xfId="0" applyFont="1" applyFill="1" applyBorder="1" applyAlignment="1">
      <alignment horizontal="center" vertical="center"/>
    </xf>
    <xf numFmtId="0" fontId="44" fillId="4" borderId="0" xfId="0" applyFont="1" applyFill="1" applyAlignment="1">
      <alignment horizontal="center" vertical="center"/>
    </xf>
    <xf numFmtId="0" fontId="0" fillId="4" borderId="55" xfId="0" applyFill="1" applyBorder="1" applyAlignment="1">
      <alignment horizontal="center"/>
    </xf>
    <xf numFmtId="0" fontId="0" fillId="4" borderId="56" xfId="0" applyFill="1" applyBorder="1" applyAlignment="1">
      <alignment horizontal="center"/>
    </xf>
    <xf numFmtId="0" fontId="0" fillId="4" borderId="50" xfId="0" applyFill="1" applyBorder="1" applyAlignment="1">
      <alignment horizontal="center"/>
    </xf>
    <xf numFmtId="0" fontId="4" fillId="4" borderId="23" xfId="0" applyFont="1" applyFill="1" applyBorder="1"/>
    <xf numFmtId="0" fontId="5" fillId="4" borderId="18" xfId="0" applyFont="1" applyFill="1" applyBorder="1" applyAlignment="1">
      <alignment horizontal="right" vertical="top"/>
    </xf>
    <xf numFmtId="0" fontId="5" fillId="4" borderId="3" xfId="0" applyFont="1" applyFill="1" applyBorder="1"/>
    <xf numFmtId="0" fontId="57" fillId="0" borderId="19" xfId="0" applyFont="1" applyBorder="1" applyAlignment="1">
      <alignment vertical="top" wrapText="1"/>
    </xf>
    <xf numFmtId="43" fontId="5" fillId="0" borderId="17" xfId="27" applyFont="1" applyFill="1" applyBorder="1"/>
    <xf numFmtId="0" fontId="38" fillId="0" borderId="8" xfId="0" applyFont="1" applyBorder="1"/>
    <xf numFmtId="0" fontId="0" fillId="4" borderId="8" xfId="0" applyFill="1" applyBorder="1"/>
    <xf numFmtId="0" fontId="38" fillId="0" borderId="4" xfId="0" applyFont="1" applyBorder="1" applyAlignment="1">
      <alignment horizontal="center"/>
    </xf>
    <xf numFmtId="0" fontId="38" fillId="0" borderId="3" xfId="0" applyFont="1" applyBorder="1"/>
    <xf numFmtId="0" fontId="42" fillId="0" borderId="3" xfId="0" applyFont="1" applyBorder="1" applyAlignment="1">
      <alignment horizontal="right"/>
    </xf>
    <xf numFmtId="0" fontId="19" fillId="0" borderId="3" xfId="0" applyFont="1" applyBorder="1" applyAlignment="1">
      <alignment horizontal="center"/>
    </xf>
    <xf numFmtId="0" fontId="38" fillId="0" borderId="5" xfId="0" applyFont="1" applyBorder="1"/>
    <xf numFmtId="0" fontId="0" fillId="4" borderId="4" xfId="0" applyFill="1" applyBorder="1"/>
    <xf numFmtId="0" fontId="0" fillId="4" borderId="3" xfId="0" applyFill="1" applyBorder="1"/>
    <xf numFmtId="0" fontId="0" fillId="4" borderId="5" xfId="0" applyFill="1" applyBorder="1"/>
    <xf numFmtId="0" fontId="38" fillId="0" borderId="3" xfId="0" applyFont="1" applyBorder="1" applyAlignment="1">
      <alignment horizontal="center"/>
    </xf>
    <xf numFmtId="0" fontId="38" fillId="0" borderId="26" xfId="0" applyFont="1" applyBorder="1"/>
    <xf numFmtId="0" fontId="38" fillId="0" borderId="1" xfId="0" applyFont="1" applyBorder="1"/>
    <xf numFmtId="0" fontId="0" fillId="4" borderId="26" xfId="0" applyFill="1" applyBorder="1"/>
    <xf numFmtId="0" fontId="0" fillId="4" borderId="1" xfId="0" applyFill="1" applyBorder="1"/>
    <xf numFmtId="0" fontId="57" fillId="0" borderId="0" xfId="0" applyFont="1"/>
    <xf numFmtId="4" fontId="4" fillId="0" borderId="7" xfId="0" applyNumberFormat="1" applyFont="1" applyBorder="1" applyAlignment="1">
      <alignment horizontal="center" vertical="center"/>
    </xf>
    <xf numFmtId="43" fontId="4" fillId="0" borderId="7" xfId="0" applyNumberFormat="1" applyFont="1" applyBorder="1" applyAlignment="1" applyProtection="1">
      <alignment horizontal="right"/>
      <protection locked="0" hidden="1"/>
    </xf>
    <xf numFmtId="43" fontId="4" fillId="0" borderId="17" xfId="0" applyNumberFormat="1" applyFont="1" applyBorder="1" applyAlignment="1" applyProtection="1">
      <alignment horizontal="right"/>
      <protection locked="0" hidden="1"/>
    </xf>
    <xf numFmtId="43" fontId="4" fillId="0" borderId="17" xfId="0" applyNumberFormat="1" applyFont="1" applyBorder="1" applyAlignment="1" applyProtection="1">
      <alignment vertical="center"/>
      <protection locked="0" hidden="1"/>
    </xf>
    <xf numFmtId="43" fontId="4" fillId="0" borderId="7" xfId="0" applyNumberFormat="1" applyFont="1" applyBorder="1" applyAlignment="1" applyProtection="1">
      <alignment horizontal="right" vertical="top"/>
      <protection locked="0" hidden="1"/>
    </xf>
    <xf numFmtId="43" fontId="4" fillId="0" borderId="17" xfId="0" applyNumberFormat="1" applyFont="1" applyBorder="1" applyAlignment="1" applyProtection="1">
      <alignment horizontal="right" vertical="top"/>
      <protection locked="0" hidden="1"/>
    </xf>
    <xf numFmtId="0" fontId="4" fillId="0" borderId="7" xfId="0" applyFont="1" applyBorder="1" applyAlignment="1">
      <alignment horizontal="center" vertical="center"/>
    </xf>
    <xf numFmtId="43" fontId="4" fillId="4" borderId="7" xfId="0" applyNumberFormat="1" applyFont="1" applyFill="1" applyBorder="1" applyAlignment="1">
      <alignment horizontal="center" vertical="center"/>
    </xf>
    <xf numFmtId="43" fontId="4" fillId="4" borderId="17" xfId="0" applyNumberFormat="1" applyFont="1" applyFill="1" applyBorder="1" applyAlignment="1" applyProtection="1">
      <alignment horizontal="right"/>
      <protection locked="0" hidden="1"/>
    </xf>
    <xf numFmtId="43" fontId="4" fillId="0" borderId="7" xfId="0" applyNumberFormat="1" applyFont="1" applyBorder="1" applyAlignment="1">
      <alignment horizontal="center"/>
    </xf>
    <xf numFmtId="43" fontId="4" fillId="0" borderId="7" xfId="1" applyFont="1" applyFill="1" applyBorder="1" applyAlignment="1" applyProtection="1">
      <alignment horizontal="center" vertical="center" wrapText="1"/>
    </xf>
    <xf numFmtId="43" fontId="4" fillId="4" borderId="19" xfId="0" applyNumberFormat="1" applyFont="1" applyFill="1" applyBorder="1" applyAlignment="1">
      <alignment horizontal="center" vertical="center"/>
    </xf>
    <xf numFmtId="43" fontId="4" fillId="0" borderId="19" xfId="0" applyNumberFormat="1" applyFont="1" applyBorder="1" applyAlignment="1" applyProtection="1">
      <alignment horizontal="right"/>
      <protection locked="0" hidden="1"/>
    </xf>
    <xf numFmtId="43" fontId="4" fillId="0" borderId="20" xfId="0" applyNumberFormat="1" applyFont="1" applyBorder="1" applyAlignment="1" applyProtection="1">
      <alignment horizontal="right"/>
      <protection locked="0" hidden="1"/>
    </xf>
    <xf numFmtId="43" fontId="4" fillId="0" borderId="19" xfId="0" applyNumberFormat="1" applyFont="1" applyBorder="1" applyAlignment="1">
      <alignment horizontal="center" vertical="center"/>
    </xf>
    <xf numFmtId="0" fontId="4" fillId="4" borderId="0" xfId="0" applyFont="1" applyFill="1" applyAlignment="1">
      <alignment vertical="top"/>
    </xf>
    <xf numFmtId="43" fontId="4" fillId="4" borderId="7" xfId="0" applyNumberFormat="1" applyFont="1" applyFill="1" applyBorder="1" applyAlignment="1">
      <alignment horizontal="center"/>
    </xf>
    <xf numFmtId="43" fontId="4" fillId="4" borderId="7" xfId="0" applyNumberFormat="1" applyFont="1" applyFill="1" applyBorder="1" applyAlignment="1" applyProtection="1">
      <alignment horizontal="right" vertical="top"/>
      <protection locked="0" hidden="1"/>
    </xf>
    <xf numFmtId="43" fontId="4" fillId="4" borderId="2" xfId="0" applyNumberFormat="1" applyFont="1" applyFill="1" applyBorder="1" applyAlignment="1" applyProtection="1">
      <alignment horizontal="right"/>
      <protection locked="0" hidden="1"/>
    </xf>
    <xf numFmtId="43" fontId="4" fillId="4" borderId="0" xfId="0" applyNumberFormat="1" applyFont="1" applyFill="1" applyAlignment="1" applyProtection="1">
      <alignment horizontal="right"/>
      <protection locked="0" hidden="1"/>
    </xf>
    <xf numFmtId="4" fontId="4" fillId="4" borderId="19" xfId="0" applyNumberFormat="1" applyFont="1" applyFill="1" applyBorder="1" applyAlignment="1">
      <alignment horizontal="center" vertical="center"/>
    </xf>
    <xf numFmtId="43" fontId="4" fillId="4" borderId="19" xfId="0" applyNumberFormat="1" applyFont="1" applyFill="1" applyBorder="1" applyAlignment="1" applyProtection="1">
      <alignment horizontal="right"/>
      <protection locked="0" hidden="1"/>
    </xf>
    <xf numFmtId="43" fontId="4" fillId="4" borderId="20" xfId="0" applyNumberFormat="1" applyFont="1" applyFill="1" applyBorder="1" applyAlignment="1" applyProtection="1">
      <alignment horizontal="right"/>
      <protection locked="0" hidden="1"/>
    </xf>
    <xf numFmtId="2" fontId="4" fillId="0" borderId="19" xfId="0" applyNumberFormat="1" applyFont="1" applyBorder="1" applyAlignment="1" applyProtection="1">
      <alignment horizontal="right"/>
      <protection locked="0" hidden="1"/>
    </xf>
    <xf numFmtId="43" fontId="1" fillId="4" borderId="0" xfId="0" applyNumberFormat="1" applyFont="1" applyFill="1"/>
    <xf numFmtId="43" fontId="1" fillId="4" borderId="28" xfId="0" applyNumberFormat="1" applyFont="1" applyFill="1" applyBorder="1"/>
    <xf numFmtId="43" fontId="35" fillId="4" borderId="28" xfId="0" applyNumberFormat="1" applyFont="1" applyFill="1" applyBorder="1" applyAlignment="1">
      <alignment horizontal="center"/>
    </xf>
    <xf numFmtId="43" fontId="35" fillId="4" borderId="28" xfId="0" applyNumberFormat="1" applyFont="1" applyFill="1" applyBorder="1"/>
    <xf numFmtId="0" fontId="0" fillId="13" borderId="28" xfId="0" applyFill="1" applyBorder="1" applyAlignment="1">
      <alignment vertical="center" wrapText="1"/>
    </xf>
    <xf numFmtId="43" fontId="0" fillId="4" borderId="28" xfId="0" applyNumberFormat="1" applyFill="1" applyBorder="1" applyAlignment="1">
      <alignment vertical="center"/>
    </xf>
    <xf numFmtId="43" fontId="1" fillId="4" borderId="12" xfId="0" applyNumberFormat="1" applyFont="1" applyFill="1" applyBorder="1"/>
    <xf numFmtId="43" fontId="20" fillId="4" borderId="28" xfId="0" applyNumberFormat="1" applyFont="1" applyFill="1" applyBorder="1" applyAlignment="1">
      <alignment vertical="center"/>
    </xf>
    <xf numFmtId="43" fontId="32" fillId="4" borderId="28" xfId="0" applyNumberFormat="1" applyFont="1" applyFill="1" applyBorder="1" applyAlignment="1">
      <alignment vertical="center"/>
    </xf>
    <xf numFmtId="0" fontId="4" fillId="13" borderId="28" xfId="0" applyFont="1" applyFill="1" applyBorder="1" applyAlignment="1">
      <alignment vertical="center" wrapText="1"/>
    </xf>
    <xf numFmtId="43" fontId="4" fillId="4" borderId="28" xfId="0" applyNumberFormat="1" applyFont="1" applyFill="1" applyBorder="1" applyAlignment="1">
      <alignment vertical="center"/>
    </xf>
    <xf numFmtId="0" fontId="16" fillId="6" borderId="28" xfId="0" applyFont="1" applyFill="1" applyBorder="1" applyAlignment="1">
      <alignment horizontal="center" vertical="center" wrapText="1"/>
    </xf>
    <xf numFmtId="2" fontId="16" fillId="6" borderId="28" xfId="0" applyNumberFormat="1" applyFont="1" applyFill="1" applyBorder="1" applyAlignment="1">
      <alignment horizontal="center" vertical="center" wrapText="1"/>
    </xf>
    <xf numFmtId="168" fontId="16" fillId="6" borderId="28" xfId="0" applyNumberFormat="1" applyFont="1" applyFill="1" applyBorder="1" applyAlignment="1">
      <alignment horizontal="center" vertical="center" wrapText="1"/>
    </xf>
    <xf numFmtId="43" fontId="16" fillId="6" borderId="28" xfId="0" applyNumberFormat="1" applyFont="1" applyFill="1" applyBorder="1" applyAlignment="1">
      <alignment horizontal="center" vertical="center" wrapText="1"/>
    </xf>
    <xf numFmtId="43" fontId="23" fillId="12" borderId="53" xfId="0" applyNumberFormat="1" applyFont="1" applyFill="1" applyBorder="1"/>
    <xf numFmtId="43" fontId="23" fillId="12" borderId="29" xfId="0" applyNumberFormat="1" applyFont="1" applyFill="1" applyBorder="1" applyAlignment="1">
      <alignment horizontal="center"/>
    </xf>
    <xf numFmtId="43" fontId="23" fillId="12" borderId="29" xfId="0" applyNumberFormat="1" applyFont="1" applyFill="1" applyBorder="1" applyAlignment="1">
      <alignment horizontal="center" vertical="center"/>
    </xf>
    <xf numFmtId="43" fontId="16" fillId="12" borderId="29" xfId="0" applyNumberFormat="1" applyFont="1" applyFill="1" applyBorder="1" applyAlignment="1">
      <alignment horizontal="center"/>
    </xf>
    <xf numFmtId="43" fontId="23" fillId="12" borderId="62" xfId="0" applyNumberFormat="1" applyFont="1" applyFill="1" applyBorder="1" applyAlignment="1">
      <alignment horizontal="center"/>
    </xf>
    <xf numFmtId="2" fontId="16" fillId="5" borderId="53" xfId="0" applyNumberFormat="1" applyFont="1" applyFill="1" applyBorder="1"/>
    <xf numFmtId="2" fontId="23" fillId="10" borderId="62" xfId="0" applyNumberFormat="1" applyFont="1" applyFill="1" applyBorder="1"/>
    <xf numFmtId="43" fontId="16" fillId="10" borderId="31" xfId="0" applyNumberFormat="1" applyFont="1" applyFill="1" applyBorder="1" applyAlignment="1">
      <alignment vertical="center"/>
    </xf>
    <xf numFmtId="43" fontId="16" fillId="12" borderId="28" xfId="0" applyNumberFormat="1" applyFont="1" applyFill="1" applyBorder="1"/>
    <xf numFmtId="43" fontId="16" fillId="10" borderId="28" xfId="0" applyNumberFormat="1" applyFont="1" applyFill="1" applyBorder="1" applyAlignment="1">
      <alignment horizontal="center"/>
    </xf>
    <xf numFmtId="43" fontId="23" fillId="12" borderId="28" xfId="0" applyNumberFormat="1" applyFont="1" applyFill="1" applyBorder="1" applyAlignment="1">
      <alignment horizontal="center"/>
    </xf>
    <xf numFmtId="43" fontId="16" fillId="12" borderId="28" xfId="0" applyNumberFormat="1" applyFont="1" applyFill="1" applyBorder="1" applyAlignment="1">
      <alignment horizontal="center" vertical="center"/>
    </xf>
    <xf numFmtId="43" fontId="16" fillId="12" borderId="28" xfId="0" applyNumberFormat="1" applyFont="1" applyFill="1" applyBorder="1" applyAlignment="1">
      <alignment horizontal="center"/>
    </xf>
    <xf numFmtId="43" fontId="16" fillId="12" borderId="28" xfId="0" applyNumberFormat="1" applyFont="1" applyFill="1" applyBorder="1" applyAlignment="1">
      <alignment horizontal="left"/>
    </xf>
    <xf numFmtId="2" fontId="16" fillId="5" borderId="27" xfId="0" applyNumberFormat="1" applyFont="1" applyFill="1" applyBorder="1"/>
    <xf numFmtId="43" fontId="23" fillId="12" borderId="29" xfId="0" applyNumberFormat="1" applyFont="1" applyFill="1" applyBorder="1"/>
    <xf numFmtId="43" fontId="16" fillId="10" borderId="26" xfId="0" applyNumberFormat="1" applyFont="1" applyFill="1" applyBorder="1" applyAlignment="1">
      <alignment vertical="center"/>
    </xf>
    <xf numFmtId="43" fontId="23" fillId="10" borderId="28" xfId="0" applyNumberFormat="1" applyFont="1" applyFill="1" applyBorder="1" applyAlignment="1">
      <alignment horizontal="center"/>
    </xf>
    <xf numFmtId="43" fontId="23" fillId="8" borderId="28" xfId="0" applyNumberFormat="1" applyFont="1" applyFill="1" applyBorder="1" applyAlignment="1">
      <alignment horizontal="center"/>
    </xf>
    <xf numFmtId="43" fontId="23" fillId="13" borderId="53" xfId="0" applyNumberFormat="1" applyFont="1" applyFill="1" applyBorder="1"/>
    <xf numFmtId="43" fontId="23" fillId="13" borderId="29" xfId="0" applyNumberFormat="1" applyFont="1" applyFill="1" applyBorder="1" applyAlignment="1">
      <alignment horizontal="center"/>
    </xf>
    <xf numFmtId="43" fontId="23" fillId="13" borderId="29" xfId="0" applyNumberFormat="1" applyFont="1" applyFill="1" applyBorder="1" applyAlignment="1">
      <alignment horizontal="center" vertical="center"/>
    </xf>
    <xf numFmtId="43" fontId="23" fillId="13" borderId="62" xfId="0" applyNumberFormat="1" applyFont="1" applyFill="1" applyBorder="1" applyAlignment="1">
      <alignment horizontal="center"/>
    </xf>
    <xf numFmtId="43" fontId="16" fillId="13" borderId="28" xfId="0" applyNumberFormat="1" applyFont="1" applyFill="1" applyBorder="1"/>
    <xf numFmtId="43" fontId="23" fillId="13" borderId="28" xfId="0" applyNumberFormat="1" applyFont="1" applyFill="1" applyBorder="1" applyAlignment="1">
      <alignment horizontal="center"/>
    </xf>
    <xf numFmtId="43" fontId="16" fillId="13" borderId="28" xfId="0" applyNumberFormat="1" applyFont="1" applyFill="1" applyBorder="1" applyAlignment="1">
      <alignment horizontal="center" vertical="center"/>
    </xf>
    <xf numFmtId="43" fontId="16" fillId="13" borderId="28" xfId="0" applyNumberFormat="1" applyFont="1" applyFill="1" applyBorder="1" applyAlignment="1">
      <alignment horizontal="left"/>
    </xf>
    <xf numFmtId="43" fontId="23" fillId="14" borderId="27" xfId="0" applyNumberFormat="1" applyFont="1" applyFill="1" applyBorder="1"/>
    <xf numFmtId="43" fontId="16" fillId="14" borderId="27" xfId="0" applyNumberFormat="1" applyFont="1" applyFill="1" applyBorder="1"/>
    <xf numFmtId="43" fontId="23" fillId="9" borderId="28" xfId="0" applyNumberFormat="1" applyFont="1" applyFill="1" applyBorder="1" applyAlignment="1">
      <alignment horizontal="center"/>
    </xf>
    <xf numFmtId="0" fontId="5" fillId="13" borderId="31" xfId="28" applyFont="1" applyFill="1" applyBorder="1" applyAlignment="1">
      <alignment horizontal="center" vertical="center"/>
    </xf>
    <xf numFmtId="0" fontId="5" fillId="13" borderId="28" xfId="0" applyFont="1" applyFill="1" applyBorder="1" applyAlignment="1">
      <alignment horizontal="center" vertical="center"/>
    </xf>
    <xf numFmtId="0" fontId="5" fillId="13" borderId="30" xfId="0" applyFont="1" applyFill="1" applyBorder="1" applyAlignment="1">
      <alignment horizontal="center" vertical="center"/>
    </xf>
    <xf numFmtId="4" fontId="5" fillId="13" borderId="28" xfId="0" applyNumberFormat="1" applyFont="1" applyFill="1" applyBorder="1" applyAlignment="1">
      <alignment horizontal="center" vertical="center"/>
    </xf>
    <xf numFmtId="0" fontId="5" fillId="13" borderId="30" xfId="0" applyFont="1" applyFill="1" applyBorder="1" applyAlignment="1">
      <alignment horizontal="right" vertical="center"/>
    </xf>
    <xf numFmtId="0" fontId="5" fillId="13" borderId="52" xfId="0" applyFont="1" applyFill="1" applyBorder="1" applyAlignment="1">
      <alignment horizontal="center" vertical="center"/>
    </xf>
    <xf numFmtId="0" fontId="5" fillId="13" borderId="63" xfId="0" applyFont="1" applyFill="1" applyBorder="1" applyAlignment="1">
      <alignment horizontal="left" vertical="center"/>
    </xf>
    <xf numFmtId="0" fontId="5" fillId="13" borderId="28" xfId="0" applyFont="1" applyFill="1" applyBorder="1" applyAlignment="1">
      <alignment vertical="center"/>
    </xf>
    <xf numFmtId="0" fontId="4" fillId="13" borderId="28" xfId="0" applyFont="1" applyFill="1" applyBorder="1" applyAlignment="1">
      <alignment horizontal="left" vertical="center"/>
    </xf>
    <xf numFmtId="0" fontId="5" fillId="9" borderId="28" xfId="0" applyFont="1" applyFill="1" applyBorder="1" applyAlignment="1">
      <alignment horizontal="center" vertical="center"/>
    </xf>
    <xf numFmtId="0" fontId="4" fillId="13" borderId="28" xfId="0" applyFont="1" applyFill="1" applyBorder="1" applyAlignment="1">
      <alignment horizontal="center" vertical="center"/>
    </xf>
    <xf numFmtId="0" fontId="5" fillId="9" borderId="28" xfId="0" applyFont="1" applyFill="1" applyBorder="1" applyAlignment="1">
      <alignment vertical="center"/>
    </xf>
    <xf numFmtId="43" fontId="5" fillId="13" borderId="28" xfId="0" applyNumberFormat="1" applyFont="1" applyFill="1" applyBorder="1" applyAlignment="1">
      <alignment horizontal="center" vertical="center"/>
    </xf>
    <xf numFmtId="43" fontId="0" fillId="14" borderId="28" xfId="0" applyNumberFormat="1" applyFill="1" applyBorder="1" applyAlignment="1">
      <alignment horizontal="center"/>
    </xf>
    <xf numFmtId="43" fontId="5" fillId="14" borderId="28" xfId="0" applyNumberFormat="1" applyFont="1" applyFill="1" applyBorder="1"/>
    <xf numFmtId="43" fontId="0" fillId="14" borderId="28" xfId="0" applyNumberFormat="1" applyFill="1" applyBorder="1"/>
    <xf numFmtId="43" fontId="5" fillId="14" borderId="28" xfId="0" applyNumberFormat="1" applyFont="1" applyFill="1" applyBorder="1" applyAlignment="1">
      <alignment horizontal="center"/>
    </xf>
    <xf numFmtId="43" fontId="24" fillId="14" borderId="28" xfId="0" applyNumberFormat="1" applyFont="1" applyFill="1" applyBorder="1" applyAlignment="1">
      <alignment horizontal="center"/>
    </xf>
    <xf numFmtId="43" fontId="25" fillId="14" borderId="28" xfId="0" applyNumberFormat="1" applyFont="1" applyFill="1" applyBorder="1" applyAlignment="1">
      <alignment vertical="center"/>
    </xf>
    <xf numFmtId="0" fontId="5" fillId="16" borderId="28" xfId="0" applyFont="1" applyFill="1" applyBorder="1" applyAlignment="1">
      <alignment horizontal="center" vertical="center"/>
    </xf>
    <xf numFmtId="43" fontId="5" fillId="9" borderId="28" xfId="0" applyNumberFormat="1" applyFont="1" applyFill="1" applyBorder="1"/>
    <xf numFmtId="43" fontId="25" fillId="14" borderId="28" xfId="0" applyNumberFormat="1" applyFont="1" applyFill="1" applyBorder="1" applyAlignment="1">
      <alignment horizontal="center" vertical="center"/>
    </xf>
    <xf numFmtId="43" fontId="5" fillId="13" borderId="28" xfId="0" applyNumberFormat="1" applyFont="1" applyFill="1" applyBorder="1" applyAlignment="1">
      <alignment vertical="center"/>
    </xf>
    <xf numFmtId="0" fontId="4" fillId="14" borderId="28" xfId="0" applyFont="1" applyFill="1" applyBorder="1" applyAlignment="1">
      <alignment horizontal="center" vertical="center"/>
    </xf>
    <xf numFmtId="0" fontId="0" fillId="14" borderId="28" xfId="0" applyFill="1" applyBorder="1" applyAlignment="1">
      <alignment vertical="center"/>
    </xf>
    <xf numFmtId="4" fontId="4" fillId="13" borderId="28" xfId="0" applyNumberFormat="1" applyFont="1" applyFill="1" applyBorder="1" applyAlignment="1">
      <alignment vertical="center"/>
    </xf>
    <xf numFmtId="0" fontId="0" fillId="4" borderId="28" xfId="0" applyFill="1" applyBorder="1" applyAlignment="1">
      <alignment horizontal="center" vertical="center"/>
    </xf>
    <xf numFmtId="2" fontId="5" fillId="4" borderId="28" xfId="0" applyNumberFormat="1" applyFont="1" applyFill="1" applyBorder="1" applyAlignment="1">
      <alignment horizontal="center" vertical="center"/>
    </xf>
    <xf numFmtId="4" fontId="5" fillId="13" borderId="28" xfId="0" applyNumberFormat="1" applyFont="1" applyFill="1" applyBorder="1" applyAlignment="1">
      <alignment horizontal="center"/>
    </xf>
    <xf numFmtId="0" fontId="5" fillId="7" borderId="3" xfId="0" applyFont="1" applyFill="1" applyBorder="1" applyAlignment="1">
      <alignment horizontal="center" vertical="center"/>
    </xf>
    <xf numFmtId="0" fontId="5" fillId="7" borderId="62" xfId="0" applyFont="1" applyFill="1" applyBorder="1" applyAlignment="1">
      <alignment horizontal="center" vertical="center"/>
    </xf>
    <xf numFmtId="0" fontId="5" fillId="7" borderId="5" xfId="0" applyFont="1" applyFill="1" applyBorder="1" applyAlignment="1">
      <alignment horizontal="center" vertical="center"/>
    </xf>
    <xf numFmtId="43" fontId="5" fillId="7" borderId="29" xfId="0" applyNumberFormat="1" applyFont="1" applyFill="1" applyBorder="1" applyAlignment="1" applyProtection="1">
      <alignment horizontal="left"/>
      <protection locked="0" hidden="1"/>
    </xf>
    <xf numFmtId="43" fontId="5" fillId="7" borderId="3" xfId="0" applyNumberFormat="1" applyFont="1" applyFill="1" applyBorder="1" applyAlignment="1" applyProtection="1">
      <alignment horizontal="left"/>
      <protection locked="0" hidden="1"/>
    </xf>
    <xf numFmtId="43" fontId="5" fillId="7" borderId="62" xfId="0" applyNumberFormat="1" applyFont="1" applyFill="1" applyBorder="1" applyAlignment="1" applyProtection="1">
      <alignment horizontal="left"/>
      <protection locked="0" hidden="1"/>
    </xf>
    <xf numFmtId="43" fontId="5" fillId="7" borderId="5" xfId="0" applyNumberFormat="1" applyFont="1" applyFill="1" applyBorder="1" applyAlignment="1" applyProtection="1">
      <alignment horizontal="left"/>
      <protection locked="0" hidden="1"/>
    </xf>
    <xf numFmtId="0" fontId="59" fillId="0" borderId="0" xfId="0" applyFont="1"/>
    <xf numFmtId="0" fontId="4" fillId="0" borderId="0" xfId="0" applyFont="1" applyAlignment="1">
      <alignment horizontal="right" vertical="top"/>
    </xf>
    <xf numFmtId="43" fontId="4" fillId="0" borderId="0" xfId="0" applyNumberFormat="1" applyFont="1" applyAlignment="1">
      <alignment horizontal="center" vertical="center"/>
    </xf>
    <xf numFmtId="4" fontId="4" fillId="0" borderId="0" xfId="0" applyNumberFormat="1" applyFont="1" applyAlignment="1">
      <alignment horizontal="center" vertical="center"/>
    </xf>
    <xf numFmtId="43" fontId="4" fillId="0" borderId="0" xfId="0" applyNumberFormat="1" applyFont="1" applyAlignment="1" applyProtection="1">
      <alignment horizontal="right"/>
      <protection locked="0" hidden="1"/>
    </xf>
    <xf numFmtId="43" fontId="5" fillId="4" borderId="22" xfId="0" applyNumberFormat="1" applyFont="1" applyFill="1" applyBorder="1" applyAlignment="1" applyProtection="1">
      <alignment horizontal="center" vertical="center" wrapText="1"/>
      <protection locked="0" hidden="1"/>
    </xf>
    <xf numFmtId="43" fontId="4" fillId="0" borderId="21" xfId="0" applyNumberFormat="1" applyFont="1" applyBorder="1" applyAlignment="1" applyProtection="1">
      <alignment horizontal="right"/>
      <protection locked="0" hidden="1"/>
    </xf>
    <xf numFmtId="43" fontId="5" fillId="0" borderId="22" xfId="0" applyNumberFormat="1" applyFont="1" applyBorder="1" applyAlignment="1" applyProtection="1">
      <alignment horizontal="right"/>
      <protection locked="0" hidden="1"/>
    </xf>
    <xf numFmtId="43" fontId="4" fillId="4" borderId="21" xfId="0" applyNumberFormat="1" applyFont="1" applyFill="1" applyBorder="1" applyAlignment="1" applyProtection="1">
      <alignment horizontal="right"/>
      <protection locked="0" hidden="1"/>
    </xf>
    <xf numFmtId="43" fontId="4" fillId="0" borderId="23" xfId="0" applyNumberFormat="1" applyFont="1" applyBorder="1" applyAlignment="1" applyProtection="1">
      <alignment horizontal="right"/>
      <protection locked="0" hidden="1"/>
    </xf>
    <xf numFmtId="43" fontId="4" fillId="4" borderId="21" xfId="0" applyNumberFormat="1" applyFont="1" applyFill="1" applyBorder="1" applyAlignment="1">
      <alignment horizontal="center" vertical="center"/>
    </xf>
    <xf numFmtId="43" fontId="4" fillId="4" borderId="23" xfId="0" applyNumberFormat="1" applyFont="1" applyFill="1" applyBorder="1" applyAlignment="1" applyProtection="1">
      <alignment horizontal="right"/>
      <protection locked="0" hidden="1"/>
    </xf>
    <xf numFmtId="43" fontId="5" fillId="0" borderId="22" xfId="1" applyFont="1" applyFill="1" applyBorder="1"/>
    <xf numFmtId="43" fontId="4" fillId="0" borderId="21" xfId="1" applyFont="1" applyFill="1" applyBorder="1"/>
    <xf numFmtId="43" fontId="4" fillId="0" borderId="23" xfId="1" applyFont="1" applyFill="1" applyBorder="1"/>
    <xf numFmtId="2" fontId="4" fillId="0" borderId="23" xfId="0" applyNumberFormat="1" applyFont="1" applyBorder="1" applyAlignment="1" applyProtection="1">
      <alignment horizontal="right"/>
      <protection locked="0" hidden="1"/>
    </xf>
    <xf numFmtId="43" fontId="5" fillId="0" borderId="21" xfId="1" applyFont="1" applyFill="1" applyBorder="1"/>
    <xf numFmtId="43" fontId="60" fillId="17" borderId="41" xfId="1" applyFont="1" applyFill="1" applyBorder="1" applyAlignment="1">
      <alignment horizontal="center" vertical="center" wrapText="1"/>
    </xf>
    <xf numFmtId="0" fontId="4" fillId="0" borderId="0" xfId="0" applyFont="1" applyAlignment="1">
      <alignment vertical="top"/>
    </xf>
    <xf numFmtId="0" fontId="4" fillId="9" borderId="16" xfId="0" applyFont="1" applyFill="1" applyBorder="1" applyAlignment="1">
      <alignment horizontal="right" vertical="top"/>
    </xf>
    <xf numFmtId="0" fontId="56" fillId="9" borderId="7" xfId="0" applyFont="1" applyFill="1" applyBorder="1" applyAlignment="1">
      <alignment vertical="center" wrapText="1"/>
    </xf>
    <xf numFmtId="43" fontId="57" fillId="9" borderId="7" xfId="1" applyFont="1" applyFill="1" applyBorder="1" applyAlignment="1">
      <alignment horizontal="center" vertical="center"/>
    </xf>
    <xf numFmtId="43" fontId="4" fillId="9" borderId="7" xfId="0" applyNumberFormat="1" applyFont="1" applyFill="1" applyBorder="1" applyAlignment="1">
      <alignment horizontal="center"/>
    </xf>
    <xf numFmtId="0" fontId="57" fillId="9" borderId="7" xfId="0" applyFont="1" applyFill="1" applyBorder="1" applyAlignment="1">
      <alignment vertical="center" wrapText="1"/>
    </xf>
    <xf numFmtId="0" fontId="53" fillId="4" borderId="44" xfId="0" applyFont="1" applyFill="1" applyBorder="1" applyAlignment="1">
      <alignment horizontal="center" vertical="center"/>
    </xf>
    <xf numFmtId="0" fontId="53" fillId="4" borderId="0" xfId="0" applyFont="1" applyFill="1" applyAlignment="1">
      <alignment horizontal="center" vertical="center"/>
    </xf>
    <xf numFmtId="0" fontId="53" fillId="4" borderId="12" xfId="0" applyFont="1" applyFill="1" applyBorder="1" applyAlignment="1">
      <alignment horizontal="center" vertical="center"/>
    </xf>
    <xf numFmtId="0" fontId="0" fillId="4" borderId="44" xfId="0" applyFill="1" applyBorder="1" applyAlignment="1">
      <alignment horizontal="center"/>
    </xf>
    <xf numFmtId="0" fontId="0" fillId="4" borderId="0" xfId="0" applyFill="1" applyAlignment="1">
      <alignment horizontal="center"/>
    </xf>
    <xf numFmtId="0" fontId="0" fillId="4" borderId="12" xfId="0" applyFill="1" applyBorder="1" applyAlignment="1">
      <alignment horizontal="center"/>
    </xf>
    <xf numFmtId="0" fontId="19" fillId="4" borderId="44" xfId="0" applyFont="1" applyFill="1" applyBorder="1" applyAlignment="1">
      <alignment horizontal="center" vertical="center"/>
    </xf>
    <xf numFmtId="0" fontId="19" fillId="4" borderId="0" xfId="0" applyFont="1" applyFill="1" applyAlignment="1">
      <alignment horizontal="center" vertical="center"/>
    </xf>
    <xf numFmtId="0" fontId="19" fillId="4" borderId="12" xfId="0" applyFont="1" applyFill="1" applyBorder="1" applyAlignment="1">
      <alignment horizontal="center" vertical="center"/>
    </xf>
    <xf numFmtId="0" fontId="54" fillId="4" borderId="44" xfId="0" applyFont="1" applyFill="1" applyBorder="1" applyAlignment="1">
      <alignment horizontal="center" vertical="center" wrapText="1" shrinkToFit="1"/>
    </xf>
    <xf numFmtId="0" fontId="54" fillId="4" borderId="0" xfId="0" applyFont="1" applyFill="1" applyAlignment="1">
      <alignment horizontal="center" vertical="center" wrapText="1" shrinkToFit="1"/>
    </xf>
    <xf numFmtId="0" fontId="54" fillId="4" borderId="12" xfId="0" applyFont="1" applyFill="1" applyBorder="1" applyAlignment="1">
      <alignment horizontal="center" vertical="center" wrapText="1" shrinkToFit="1"/>
    </xf>
    <xf numFmtId="0" fontId="44" fillId="4" borderId="44" xfId="0" applyFont="1" applyFill="1" applyBorder="1" applyAlignment="1">
      <alignment horizontal="center" vertical="center"/>
    </xf>
    <xf numFmtId="0" fontId="44" fillId="4" borderId="0" xfId="0" applyFont="1" applyFill="1" applyAlignment="1">
      <alignment horizontal="center" vertical="center"/>
    </xf>
    <xf numFmtId="0" fontId="39" fillId="4" borderId="44" xfId="0" applyFont="1" applyFill="1" applyBorder="1" applyAlignment="1">
      <alignment horizontal="center" vertical="center" wrapText="1" shrinkToFit="1"/>
    </xf>
    <xf numFmtId="0" fontId="39" fillId="4" borderId="0" xfId="0" applyFont="1" applyFill="1" applyAlignment="1">
      <alignment horizontal="center" vertical="center" wrapText="1" shrinkToFit="1"/>
    </xf>
    <xf numFmtId="0" fontId="39" fillId="4" borderId="12" xfId="0" applyFont="1" applyFill="1" applyBorder="1" applyAlignment="1">
      <alignment horizontal="center" vertical="center" wrapText="1" shrinkToFit="1"/>
    </xf>
    <xf numFmtId="0" fontId="45" fillId="4" borderId="44" xfId="0" applyFont="1" applyFill="1" applyBorder="1" applyAlignment="1">
      <alignment horizontal="center" vertical="center"/>
    </xf>
    <xf numFmtId="0" fontId="45" fillId="4" borderId="0" xfId="0" applyFont="1" applyFill="1" applyAlignment="1">
      <alignment horizontal="center" vertical="center"/>
    </xf>
    <xf numFmtId="49" fontId="45" fillId="4" borderId="44" xfId="0" applyNumberFormat="1" applyFont="1" applyFill="1" applyBorder="1" applyAlignment="1">
      <alignment horizontal="center" vertical="center"/>
    </xf>
    <xf numFmtId="49" fontId="45" fillId="4" borderId="0" xfId="0" applyNumberFormat="1" applyFont="1" applyFill="1" applyAlignment="1">
      <alignment horizontal="center" vertical="center"/>
    </xf>
    <xf numFmtId="49" fontId="45" fillId="4" borderId="12" xfId="0" applyNumberFormat="1" applyFont="1" applyFill="1" applyBorder="1" applyAlignment="1">
      <alignment horizontal="center" vertical="center"/>
    </xf>
    <xf numFmtId="0" fontId="45" fillId="4" borderId="12" xfId="0" applyFont="1" applyFill="1" applyBorder="1" applyAlignment="1">
      <alignment horizontal="center" vertical="center"/>
    </xf>
    <xf numFmtId="43" fontId="41" fillId="7" borderId="30" xfId="1" applyFont="1" applyFill="1" applyBorder="1" applyAlignment="1">
      <alignment horizontal="right"/>
    </xf>
    <xf numFmtId="43" fontId="41" fillId="7" borderId="52" xfId="1" applyFont="1" applyFill="1" applyBorder="1" applyAlignment="1">
      <alignment horizontal="right"/>
    </xf>
    <xf numFmtId="43" fontId="41" fillId="7" borderId="63" xfId="1" applyFont="1" applyFill="1" applyBorder="1" applyAlignment="1">
      <alignment horizontal="right"/>
    </xf>
    <xf numFmtId="43" fontId="39" fillId="7" borderId="30" xfId="1" applyFont="1" applyFill="1" applyBorder="1" applyAlignment="1">
      <alignment horizontal="center"/>
    </xf>
    <xf numFmtId="43" fontId="39" fillId="7" borderId="52" xfId="1" applyFont="1" applyFill="1" applyBorder="1" applyAlignment="1">
      <alignment horizontal="center"/>
    </xf>
    <xf numFmtId="0" fontId="37" fillId="4" borderId="0" xfId="0" applyFont="1" applyFill="1" applyAlignment="1">
      <alignment horizontal="center" vertical="center" wrapText="1"/>
    </xf>
    <xf numFmtId="49" fontId="41" fillId="15" borderId="21" xfId="1" applyNumberFormat="1" applyFont="1" applyFill="1" applyBorder="1" applyAlignment="1"/>
    <xf numFmtId="49" fontId="41" fillId="15" borderId="2" xfId="1" applyNumberFormat="1" applyFont="1" applyFill="1" applyBorder="1" applyAlignment="1"/>
    <xf numFmtId="43" fontId="41" fillId="15" borderId="21" xfId="1" applyFont="1" applyFill="1" applyBorder="1" applyAlignment="1"/>
    <xf numFmtId="43" fontId="41" fillId="15" borderId="2" xfId="1" applyFont="1" applyFill="1" applyBorder="1" applyAlignment="1"/>
    <xf numFmtId="49" fontId="41" fillId="15" borderId="23" xfId="1" quotePrefix="1" applyNumberFormat="1" applyFont="1" applyFill="1" applyBorder="1" applyAlignment="1">
      <alignment wrapText="1"/>
    </xf>
    <xf numFmtId="49" fontId="41" fillId="15" borderId="25" xfId="1" applyNumberFormat="1" applyFont="1" applyFill="1" applyBorder="1" applyAlignment="1"/>
    <xf numFmtId="0" fontId="5" fillId="7" borderId="53" xfId="0" quotePrefix="1" applyFont="1" applyFill="1" applyBorder="1" applyAlignment="1">
      <alignment horizontal="left" vertical="center"/>
    </xf>
    <xf numFmtId="0" fontId="5" fillId="7" borderId="29" xfId="0" quotePrefix="1" applyFont="1" applyFill="1" applyBorder="1" applyAlignment="1">
      <alignment horizontal="left" vertical="center"/>
    </xf>
    <xf numFmtId="43" fontId="5" fillId="7" borderId="29" xfId="0" applyNumberFormat="1" applyFont="1" applyFill="1" applyBorder="1" applyAlignment="1" applyProtection="1">
      <alignment horizontal="left"/>
      <protection locked="0" hidden="1"/>
    </xf>
    <xf numFmtId="43" fontId="5" fillId="7" borderId="3" xfId="0" applyNumberFormat="1" applyFont="1" applyFill="1" applyBorder="1" applyAlignment="1" applyProtection="1">
      <alignment horizontal="left"/>
      <protection locked="0" hidden="1"/>
    </xf>
    <xf numFmtId="0" fontId="4" fillId="7" borderId="4" xfId="0" applyFont="1" applyFill="1" applyBorder="1" applyAlignment="1">
      <alignment horizontal="left" vertical="center"/>
    </xf>
    <xf numFmtId="0" fontId="4" fillId="7" borderId="3" xfId="0" applyFont="1" applyFill="1" applyBorder="1" applyAlignment="1">
      <alignment horizontal="left" vertical="center"/>
    </xf>
    <xf numFmtId="0" fontId="5" fillId="7" borderId="53" xfId="0" applyFont="1" applyFill="1" applyBorder="1" applyAlignment="1">
      <alignment horizontal="left" vertical="center"/>
    </xf>
    <xf numFmtId="0" fontId="5" fillId="7" borderId="29" xfId="0" applyFont="1" applyFill="1" applyBorder="1" applyAlignment="1">
      <alignment horizontal="left" vertical="center"/>
    </xf>
    <xf numFmtId="0" fontId="5" fillId="7" borderId="29" xfId="0" applyFont="1" applyFill="1" applyBorder="1" applyAlignment="1">
      <alignment horizontal="center" vertical="center"/>
    </xf>
    <xf numFmtId="0" fontId="5" fillId="7" borderId="3" xfId="0" applyFont="1" applyFill="1" applyBorder="1" applyAlignment="1">
      <alignment horizontal="center" vertical="center"/>
    </xf>
    <xf numFmtId="0" fontId="5" fillId="7" borderId="62" xfId="0" applyFont="1" applyFill="1" applyBorder="1" applyAlignment="1">
      <alignment horizontal="center" vertical="center"/>
    </xf>
    <xf numFmtId="0" fontId="5" fillId="7" borderId="5" xfId="0" applyFont="1" applyFill="1" applyBorder="1" applyAlignment="1">
      <alignment horizontal="center" vertical="center"/>
    </xf>
    <xf numFmtId="49" fontId="5" fillId="7" borderId="53" xfId="27" quotePrefix="1" applyNumberFormat="1" applyFont="1" applyFill="1" applyBorder="1" applyAlignment="1">
      <alignment horizontal="left"/>
    </xf>
    <xf numFmtId="49" fontId="5" fillId="7" borderId="29" xfId="27" quotePrefix="1" applyNumberFormat="1" applyFont="1" applyFill="1" applyBorder="1" applyAlignment="1">
      <alignment horizontal="left"/>
    </xf>
    <xf numFmtId="43" fontId="5" fillId="7" borderId="62" xfId="0" applyNumberFormat="1" applyFont="1" applyFill="1" applyBorder="1" applyAlignment="1" applyProtection="1">
      <alignment horizontal="left"/>
      <protection locked="0" hidden="1"/>
    </xf>
    <xf numFmtId="43" fontId="5" fillId="7" borderId="5" xfId="0" applyNumberFormat="1" applyFont="1" applyFill="1" applyBorder="1" applyAlignment="1" applyProtection="1">
      <alignment horizontal="left"/>
      <protection locked="0" hidden="1"/>
    </xf>
    <xf numFmtId="43" fontId="5" fillId="4" borderId="45" xfId="0" applyNumberFormat="1" applyFont="1" applyFill="1" applyBorder="1" applyAlignment="1">
      <alignment horizontal="left"/>
    </xf>
    <xf numFmtId="43" fontId="5" fillId="4" borderId="46" xfId="0" applyNumberFormat="1" applyFont="1" applyFill="1" applyBorder="1" applyAlignment="1">
      <alignment horizontal="left"/>
    </xf>
    <xf numFmtId="43" fontId="5" fillId="4" borderId="51" xfId="0" applyNumberFormat="1" applyFont="1" applyFill="1" applyBorder="1" applyAlignment="1">
      <alignment horizontal="left"/>
    </xf>
    <xf numFmtId="43" fontId="21" fillId="13" borderId="45" xfId="0" applyNumberFormat="1" applyFont="1" applyFill="1" applyBorder="1" applyAlignment="1">
      <alignment horizontal="left"/>
    </xf>
    <xf numFmtId="43" fontId="21" fillId="13" borderId="51" xfId="0" applyNumberFormat="1" applyFont="1" applyFill="1" applyBorder="1" applyAlignment="1">
      <alignment horizontal="left"/>
    </xf>
    <xf numFmtId="43" fontId="4" fillId="13" borderId="45" xfId="0" applyNumberFormat="1" applyFont="1" applyFill="1" applyBorder="1" applyAlignment="1">
      <alignment horizontal="right"/>
    </xf>
    <xf numFmtId="43" fontId="0" fillId="13" borderId="46" xfId="0" applyNumberFormat="1" applyFill="1" applyBorder="1" applyAlignment="1">
      <alignment horizontal="right"/>
    </xf>
    <xf numFmtId="43" fontId="0" fillId="13" borderId="51" xfId="0" applyNumberFormat="1" applyFill="1" applyBorder="1" applyAlignment="1">
      <alignment horizontal="right"/>
    </xf>
    <xf numFmtId="43" fontId="4" fillId="13" borderId="46" xfId="0" applyNumberFormat="1" applyFont="1" applyFill="1" applyBorder="1" applyAlignment="1">
      <alignment horizontal="right"/>
    </xf>
    <xf numFmtId="43" fontId="4" fillId="13" borderId="51" xfId="0" applyNumberFormat="1" applyFont="1" applyFill="1" applyBorder="1" applyAlignment="1">
      <alignment horizontal="right"/>
    </xf>
    <xf numFmtId="43" fontId="21" fillId="4" borderId="0" xfId="0" applyNumberFormat="1" applyFont="1" applyFill="1" applyAlignment="1">
      <alignment horizontal="left"/>
    </xf>
    <xf numFmtId="43" fontId="4" fillId="13" borderId="45" xfId="0" applyNumberFormat="1" applyFont="1" applyFill="1" applyBorder="1" applyAlignment="1">
      <alignment horizontal="left"/>
    </xf>
    <xf numFmtId="43" fontId="4" fillId="13" borderId="51" xfId="0" applyNumberFormat="1" applyFont="1" applyFill="1" applyBorder="1" applyAlignment="1">
      <alignment horizontal="left"/>
    </xf>
    <xf numFmtId="43" fontId="5" fillId="9" borderId="45" xfId="0" applyNumberFormat="1" applyFont="1" applyFill="1" applyBorder="1" applyAlignment="1">
      <alignment horizontal="left"/>
    </xf>
    <xf numFmtId="43" fontId="5" fillId="9" borderId="46" xfId="0" applyNumberFormat="1" applyFont="1" applyFill="1" applyBorder="1" applyAlignment="1">
      <alignment horizontal="left"/>
    </xf>
    <xf numFmtId="43" fontId="5" fillId="9" borderId="51" xfId="0" applyNumberFormat="1" applyFont="1" applyFill="1" applyBorder="1" applyAlignment="1">
      <alignment horizontal="left"/>
    </xf>
    <xf numFmtId="43" fontId="4" fillId="9" borderId="53" xfId="0" applyNumberFormat="1" applyFont="1" applyFill="1" applyBorder="1" applyAlignment="1">
      <alignment horizontal="left" vertical="center" wrapText="1"/>
    </xf>
    <xf numFmtId="43" fontId="4" fillId="9" borderId="29" xfId="0" applyNumberFormat="1" applyFont="1" applyFill="1" applyBorder="1" applyAlignment="1">
      <alignment horizontal="left" vertical="center" wrapText="1"/>
    </xf>
    <xf numFmtId="43" fontId="4" fillId="9" borderId="62" xfId="0" applyNumberFormat="1" applyFont="1" applyFill="1" applyBorder="1" applyAlignment="1">
      <alignment horizontal="left" vertical="center" wrapText="1"/>
    </xf>
    <xf numFmtId="43" fontId="4" fillId="9" borderId="27" xfId="0" applyNumberFormat="1" applyFont="1" applyFill="1" applyBorder="1" applyAlignment="1">
      <alignment horizontal="left" vertical="center" wrapText="1"/>
    </xf>
    <xf numFmtId="43" fontId="4" fillId="9" borderId="0" xfId="0" applyNumberFormat="1" applyFont="1" applyFill="1" applyAlignment="1">
      <alignment horizontal="left" vertical="center" wrapText="1"/>
    </xf>
    <xf numFmtId="43" fontId="4" fillId="9" borderId="8" xfId="0" applyNumberFormat="1" applyFont="1" applyFill="1" applyBorder="1" applyAlignment="1">
      <alignment horizontal="left" vertical="center" wrapText="1"/>
    </xf>
    <xf numFmtId="43" fontId="4" fillId="9" borderId="4" xfId="0" applyNumberFormat="1" applyFont="1" applyFill="1" applyBorder="1" applyAlignment="1">
      <alignment horizontal="left" vertical="center" wrapText="1"/>
    </xf>
    <xf numFmtId="43" fontId="4" fillId="9" borderId="3" xfId="0" applyNumberFormat="1" applyFont="1" applyFill="1" applyBorder="1" applyAlignment="1">
      <alignment horizontal="left" vertical="center" wrapText="1"/>
    </xf>
    <xf numFmtId="43" fontId="4" fillId="9" borderId="5" xfId="0" applyNumberFormat="1" applyFont="1" applyFill="1" applyBorder="1" applyAlignment="1">
      <alignment horizontal="left" vertical="center" wrapText="1"/>
    </xf>
    <xf numFmtId="43" fontId="51" fillId="4" borderId="0" xfId="0" applyNumberFormat="1" applyFont="1" applyFill="1" applyAlignment="1">
      <alignment horizontal="right"/>
    </xf>
    <xf numFmtId="43" fontId="4" fillId="4" borderId="0" xfId="0" applyNumberFormat="1" applyFont="1" applyFill="1" applyAlignment="1">
      <alignment horizontal="left"/>
    </xf>
    <xf numFmtId="43" fontId="4" fillId="4" borderId="0" xfId="0" applyNumberFormat="1" applyFont="1" applyFill="1" applyAlignment="1">
      <alignment horizontal="right"/>
    </xf>
    <xf numFmtId="43" fontId="5" fillId="13" borderId="45" xfId="0" applyNumberFormat="1" applyFont="1" applyFill="1" applyBorder="1" applyAlignment="1">
      <alignment horizontal="left"/>
    </xf>
    <xf numFmtId="43" fontId="5" fillId="13" borderId="51" xfId="0" applyNumberFormat="1" applyFont="1" applyFill="1" applyBorder="1" applyAlignment="1">
      <alignment horizontal="left"/>
    </xf>
    <xf numFmtId="43" fontId="50" fillId="4" borderId="0" xfId="0" applyNumberFormat="1" applyFont="1" applyFill="1" applyAlignment="1">
      <alignment horizontal="left"/>
    </xf>
    <xf numFmtId="43" fontId="0" fillId="13" borderId="45" xfId="0" applyNumberFormat="1" applyFill="1" applyBorder="1" applyAlignment="1">
      <alignment horizontal="right"/>
    </xf>
    <xf numFmtId="43" fontId="31" fillId="5" borderId="45" xfId="0" applyNumberFormat="1" applyFont="1" applyFill="1" applyBorder="1" applyAlignment="1">
      <alignment horizontal="left"/>
    </xf>
    <xf numFmtId="43" fontId="31" fillId="5" borderId="46" xfId="0" applyNumberFormat="1" applyFont="1" applyFill="1" applyBorder="1" applyAlignment="1">
      <alignment horizontal="left"/>
    </xf>
    <xf numFmtId="0" fontId="36" fillId="4" borderId="0" xfId="0" applyFont="1" applyFill="1" applyAlignment="1">
      <alignment horizontal="center" vertical="center"/>
    </xf>
    <xf numFmtId="43" fontId="5" fillId="13" borderId="30" xfId="0" applyNumberFormat="1" applyFont="1" applyFill="1" applyBorder="1" applyAlignment="1">
      <alignment horizontal="center"/>
    </xf>
    <xf numFmtId="43" fontId="5" fillId="13" borderId="52" xfId="0" applyNumberFormat="1" applyFont="1" applyFill="1" applyBorder="1" applyAlignment="1">
      <alignment horizontal="center"/>
    </xf>
    <xf numFmtId="43" fontId="5" fillId="13" borderId="63" xfId="0" applyNumberFormat="1" applyFont="1" applyFill="1" applyBorder="1" applyAlignment="1">
      <alignment horizontal="center"/>
    </xf>
    <xf numFmtId="43" fontId="4" fillId="4" borderId="0" xfId="0" applyNumberFormat="1" applyFont="1" applyFill="1" applyAlignment="1">
      <alignment horizontal="center" vertical="center"/>
    </xf>
    <xf numFmtId="43" fontId="5" fillId="13" borderId="45" xfId="0" applyNumberFormat="1" applyFont="1" applyFill="1" applyBorder="1" applyAlignment="1">
      <alignment horizontal="right"/>
    </xf>
    <xf numFmtId="43" fontId="5" fillId="13" borderId="46" xfId="0" applyNumberFormat="1" applyFont="1" applyFill="1" applyBorder="1" applyAlignment="1">
      <alignment horizontal="right"/>
    </xf>
    <xf numFmtId="43" fontId="5" fillId="13" borderId="51" xfId="0" applyNumberFormat="1" applyFont="1" applyFill="1" applyBorder="1" applyAlignment="1">
      <alignment horizontal="right"/>
    </xf>
    <xf numFmtId="0" fontId="0" fillId="13" borderId="45" xfId="0" applyFill="1" applyBorder="1" applyAlignment="1">
      <alignment horizontal="right"/>
    </xf>
    <xf numFmtId="0" fontId="0" fillId="13" borderId="46" xfId="0" applyFill="1" applyBorder="1" applyAlignment="1">
      <alignment horizontal="right"/>
    </xf>
    <xf numFmtId="0" fontId="0" fillId="13" borderId="51" xfId="0" applyFill="1" applyBorder="1" applyAlignment="1">
      <alignment horizontal="right"/>
    </xf>
    <xf numFmtId="0" fontId="5" fillId="13" borderId="45" xfId="0" applyFont="1" applyFill="1" applyBorder="1" applyAlignment="1">
      <alignment horizontal="center" vertical="center"/>
    </xf>
    <xf numFmtId="0" fontId="5" fillId="13" borderId="46" xfId="0" applyFont="1" applyFill="1" applyBorder="1" applyAlignment="1">
      <alignment horizontal="center" vertical="center"/>
    </xf>
    <xf numFmtId="0" fontId="5" fillId="13" borderId="51" xfId="0" applyFont="1" applyFill="1" applyBorder="1" applyAlignment="1">
      <alignment horizontal="center" vertical="center"/>
    </xf>
    <xf numFmtId="0" fontId="5" fillId="13" borderId="45" xfId="0" applyFont="1" applyFill="1" applyBorder="1" applyAlignment="1">
      <alignment horizontal="right"/>
    </xf>
    <xf numFmtId="0" fontId="5" fillId="13" borderId="46" xfId="0" applyFont="1" applyFill="1" applyBorder="1" applyAlignment="1">
      <alignment horizontal="right"/>
    </xf>
    <xf numFmtId="0" fontId="5" fillId="13" borderId="51" xfId="0" applyFont="1" applyFill="1" applyBorder="1" applyAlignment="1">
      <alignment horizontal="right"/>
    </xf>
    <xf numFmtId="0" fontId="4" fillId="13" borderId="45" xfId="0" applyFont="1" applyFill="1" applyBorder="1" applyAlignment="1">
      <alignment horizontal="right"/>
    </xf>
    <xf numFmtId="43" fontId="16" fillId="14" borderId="31" xfId="0" applyNumberFormat="1" applyFont="1" applyFill="1" applyBorder="1" applyAlignment="1">
      <alignment horizontal="center" vertical="center" wrapText="1"/>
    </xf>
    <xf numFmtId="43" fontId="16" fillId="14" borderId="26" xfId="0" applyNumberFormat="1" applyFont="1" applyFill="1" applyBorder="1" applyAlignment="1">
      <alignment horizontal="center" vertical="center" wrapText="1"/>
    </xf>
    <xf numFmtId="43" fontId="16" fillId="14" borderId="1" xfId="0" applyNumberFormat="1" applyFont="1" applyFill="1" applyBorder="1" applyAlignment="1">
      <alignment horizontal="center" vertical="center" wrapText="1"/>
    </xf>
    <xf numFmtId="168" fontId="16" fillId="13" borderId="4" xfId="0" applyNumberFormat="1" applyFont="1" applyFill="1" applyBorder="1" applyAlignment="1">
      <alignment horizontal="center" vertical="center" wrapText="1"/>
    </xf>
    <xf numFmtId="168" fontId="16" fillId="13" borderId="5" xfId="0" applyNumberFormat="1" applyFont="1" applyFill="1" applyBorder="1" applyAlignment="1">
      <alignment horizontal="center" vertical="center" wrapText="1"/>
    </xf>
    <xf numFmtId="0" fontId="16" fillId="13" borderId="1" xfId="0" applyFont="1" applyFill="1" applyBorder="1" applyAlignment="1">
      <alignment horizontal="left" vertical="center" wrapText="1"/>
    </xf>
    <xf numFmtId="43" fontId="23" fillId="0" borderId="30" xfId="0" applyNumberFormat="1" applyFont="1" applyBorder="1" applyAlignment="1">
      <alignment horizontal="center"/>
    </xf>
    <xf numFmtId="43" fontId="23" fillId="0" borderId="52" xfId="0" applyNumberFormat="1" applyFont="1" applyBorder="1" applyAlignment="1">
      <alignment horizontal="center"/>
    </xf>
    <xf numFmtId="43" fontId="23" fillId="0" borderId="63" xfId="0" applyNumberFormat="1" applyFont="1" applyBorder="1" applyAlignment="1">
      <alignment horizontal="center"/>
    </xf>
    <xf numFmtId="43" fontId="23" fillId="10" borderId="30" xfId="0" applyNumberFormat="1" applyFont="1" applyFill="1" applyBorder="1" applyAlignment="1">
      <alignment horizontal="center"/>
    </xf>
    <xf numFmtId="43" fontId="23" fillId="10" borderId="63" xfId="0" applyNumberFormat="1" applyFont="1" applyFill="1" applyBorder="1" applyAlignment="1">
      <alignment horizontal="center"/>
    </xf>
    <xf numFmtId="43" fontId="16" fillId="10" borderId="30" xfId="0" applyNumberFormat="1" applyFont="1" applyFill="1" applyBorder="1" applyAlignment="1">
      <alignment horizontal="center"/>
    </xf>
    <xf numFmtId="43" fontId="16" fillId="10" borderId="52" xfId="0" applyNumberFormat="1" applyFont="1" applyFill="1" applyBorder="1" applyAlignment="1">
      <alignment horizontal="center"/>
    </xf>
    <xf numFmtId="43" fontId="16" fillId="10" borderId="63" xfId="0" applyNumberFormat="1" applyFont="1" applyFill="1" applyBorder="1" applyAlignment="1">
      <alignment horizontal="center"/>
    </xf>
    <xf numFmtId="43" fontId="23" fillId="10" borderId="53" xfId="0" applyNumberFormat="1" applyFont="1" applyFill="1" applyBorder="1" applyAlignment="1">
      <alignment horizontal="center" vertical="center"/>
    </xf>
    <xf numFmtId="43" fontId="23" fillId="10" borderId="62" xfId="0" applyNumberFormat="1" applyFont="1" applyFill="1" applyBorder="1" applyAlignment="1">
      <alignment horizontal="center" vertical="center"/>
    </xf>
    <xf numFmtId="43" fontId="23" fillId="10" borderId="27" xfId="0" applyNumberFormat="1" applyFont="1" applyFill="1" applyBorder="1" applyAlignment="1">
      <alignment horizontal="center" vertical="center"/>
    </xf>
    <xf numFmtId="43" fontId="23" fillId="10" borderId="8" xfId="0" applyNumberFormat="1" applyFont="1" applyFill="1" applyBorder="1" applyAlignment="1">
      <alignment horizontal="center" vertical="center"/>
    </xf>
    <xf numFmtId="43" fontId="23" fillId="10" borderId="14" xfId="0" applyNumberFormat="1" applyFont="1" applyFill="1" applyBorder="1" applyAlignment="1">
      <alignment horizontal="center" vertical="center"/>
    </xf>
    <xf numFmtId="43" fontId="23" fillId="10" borderId="7" xfId="0" applyNumberFormat="1" applyFont="1" applyFill="1" applyBorder="1" applyAlignment="1">
      <alignment horizontal="center" vertical="center"/>
    </xf>
    <xf numFmtId="43" fontId="23" fillId="10" borderId="19" xfId="0" applyNumberFormat="1" applyFont="1" applyFill="1" applyBorder="1" applyAlignment="1">
      <alignment horizontal="center" vertical="center"/>
    </xf>
    <xf numFmtId="0" fontId="16" fillId="4" borderId="3" xfId="0" applyFont="1" applyFill="1" applyBorder="1" applyAlignment="1">
      <alignment horizontal="left"/>
    </xf>
    <xf numFmtId="0" fontId="16" fillId="6" borderId="28" xfId="0" applyFont="1" applyFill="1" applyBorder="1" applyAlignment="1">
      <alignment horizontal="left" vertical="center" wrapText="1"/>
    </xf>
    <xf numFmtId="168" fontId="16" fillId="6" borderId="30" xfId="0" applyNumberFormat="1" applyFont="1" applyFill="1" applyBorder="1" applyAlignment="1">
      <alignment horizontal="center" vertical="center" wrapText="1"/>
    </xf>
    <xf numFmtId="168" fontId="16" fillId="6" borderId="63" xfId="0" applyNumberFormat="1" applyFont="1" applyFill="1" applyBorder="1" applyAlignment="1">
      <alignment horizontal="center" vertical="center" wrapText="1"/>
    </xf>
    <xf numFmtId="2" fontId="16" fillId="6" borderId="30" xfId="0" applyNumberFormat="1" applyFont="1" applyFill="1" applyBorder="1" applyAlignment="1">
      <alignment horizontal="center" vertical="center" wrapText="1"/>
    </xf>
    <xf numFmtId="2" fontId="16" fillId="6" borderId="63" xfId="0" applyNumberFormat="1" applyFont="1" applyFill="1" applyBorder="1" applyAlignment="1">
      <alignment horizontal="center" vertical="center" wrapText="1"/>
    </xf>
    <xf numFmtId="43" fontId="23" fillId="10" borderId="22" xfId="0" applyNumberFormat="1" applyFont="1" applyFill="1" applyBorder="1" applyAlignment="1">
      <alignment horizontal="center" vertical="center"/>
    </xf>
    <xf numFmtId="43" fontId="23" fillId="10" borderId="21" xfId="0" applyNumberFormat="1" applyFont="1" applyFill="1" applyBorder="1" applyAlignment="1">
      <alignment horizontal="center" vertical="center"/>
    </xf>
    <xf numFmtId="43" fontId="23" fillId="10" borderId="23" xfId="0" applyNumberFormat="1" applyFont="1" applyFill="1" applyBorder="1" applyAlignment="1">
      <alignment horizontal="center" vertical="center"/>
    </xf>
    <xf numFmtId="43" fontId="16" fillId="13" borderId="30" xfId="0" applyNumberFormat="1" applyFont="1" applyFill="1" applyBorder="1" applyAlignment="1">
      <alignment horizontal="center"/>
    </xf>
    <xf numFmtId="43" fontId="16" fillId="13" borderId="52" xfId="0" applyNumberFormat="1" applyFont="1" applyFill="1" applyBorder="1" applyAlignment="1">
      <alignment horizontal="center"/>
    </xf>
    <xf numFmtId="43" fontId="16" fillId="13" borderId="63" xfId="0" applyNumberFormat="1" applyFont="1" applyFill="1" applyBorder="1" applyAlignment="1">
      <alignment horizontal="center"/>
    </xf>
    <xf numFmtId="2" fontId="16" fillId="13" borderId="4" xfId="0" applyNumberFormat="1" applyFont="1" applyFill="1" applyBorder="1" applyAlignment="1">
      <alignment horizontal="center" vertical="center" wrapText="1"/>
    </xf>
    <xf numFmtId="2" fontId="16" fillId="13" borderId="5" xfId="0" applyNumberFormat="1" applyFont="1" applyFill="1" applyBorder="1" applyAlignment="1">
      <alignment horizontal="center" vertical="center" wrapText="1"/>
    </xf>
    <xf numFmtId="43" fontId="16" fillId="13" borderId="53" xfId="0" applyNumberFormat="1" applyFont="1" applyFill="1" applyBorder="1" applyAlignment="1">
      <alignment horizontal="center" vertical="center"/>
    </xf>
    <xf numFmtId="43" fontId="16" fillId="13" borderId="62" xfId="0" applyNumberFormat="1" applyFont="1" applyFill="1" applyBorder="1" applyAlignment="1">
      <alignment horizontal="center" vertical="center"/>
    </xf>
    <xf numFmtId="43" fontId="16" fillId="13" borderId="27" xfId="0" applyNumberFormat="1" applyFont="1" applyFill="1" applyBorder="1" applyAlignment="1">
      <alignment horizontal="center" vertical="center"/>
    </xf>
    <xf numFmtId="43" fontId="16" fillId="13" borderId="8" xfId="0" applyNumberFormat="1" applyFont="1" applyFill="1" applyBorder="1" applyAlignment="1">
      <alignment horizontal="center" vertical="center"/>
    </xf>
    <xf numFmtId="0" fontId="4" fillId="14" borderId="53" xfId="0" applyFont="1" applyFill="1" applyBorder="1" applyAlignment="1">
      <alignment horizontal="center" vertical="center"/>
    </xf>
    <xf numFmtId="0" fontId="4" fillId="14" borderId="27" xfId="0" applyFont="1" applyFill="1" applyBorder="1" applyAlignment="1">
      <alignment horizontal="center" vertical="center"/>
    </xf>
    <xf numFmtId="0" fontId="4" fillId="14" borderId="4" xfId="0" applyFont="1" applyFill="1" applyBorder="1" applyAlignment="1">
      <alignment horizontal="center" vertical="center"/>
    </xf>
    <xf numFmtId="0" fontId="4" fillId="13" borderId="28" xfId="0" applyFont="1" applyFill="1" applyBorder="1" applyAlignment="1">
      <alignment horizontal="center" vertical="center"/>
    </xf>
    <xf numFmtId="0" fontId="4" fillId="13" borderId="28" xfId="0" applyFont="1" applyFill="1" applyBorder="1" applyAlignment="1">
      <alignment horizontal="center"/>
    </xf>
    <xf numFmtId="43" fontId="5" fillId="14" borderId="31" xfId="0" applyNumberFormat="1" applyFont="1" applyFill="1" applyBorder="1" applyAlignment="1">
      <alignment horizontal="center" vertical="center"/>
    </xf>
    <xf numFmtId="43" fontId="5" fillId="14" borderId="26" xfId="0" applyNumberFormat="1" applyFont="1" applyFill="1" applyBorder="1" applyAlignment="1">
      <alignment horizontal="center" vertical="center"/>
    </xf>
    <xf numFmtId="43" fontId="5" fillId="14" borderId="1" xfId="0" applyNumberFormat="1" applyFont="1" applyFill="1" applyBorder="1" applyAlignment="1">
      <alignment horizontal="center" vertical="center"/>
    </xf>
    <xf numFmtId="0" fontId="7" fillId="13" borderId="45" xfId="28" applyFont="1" applyFill="1" applyBorder="1" applyAlignment="1">
      <alignment horizontal="left"/>
    </xf>
    <xf numFmtId="0" fontId="7" fillId="13" borderId="46" xfId="28" applyFont="1" applyFill="1" applyBorder="1" applyAlignment="1">
      <alignment horizontal="left"/>
    </xf>
    <xf numFmtId="0" fontId="5" fillId="13" borderId="30" xfId="0" applyFont="1" applyFill="1" applyBorder="1" applyAlignment="1">
      <alignment horizontal="center" vertical="center"/>
    </xf>
    <xf numFmtId="0" fontId="5" fillId="13" borderId="63" xfId="0" applyFont="1" applyFill="1" applyBorder="1" applyAlignment="1">
      <alignment horizontal="center" vertical="center"/>
    </xf>
    <xf numFmtId="0" fontId="0" fillId="13" borderId="28" xfId="0" applyFill="1" applyBorder="1" applyAlignment="1">
      <alignment horizontal="center" vertical="center"/>
    </xf>
    <xf numFmtId="0" fontId="4" fillId="13" borderId="30" xfId="0" applyFont="1" applyFill="1" applyBorder="1" applyAlignment="1">
      <alignment horizontal="center" vertical="center"/>
    </xf>
    <xf numFmtId="0" fontId="4" fillId="13" borderId="52" xfId="0" applyFont="1" applyFill="1" applyBorder="1" applyAlignment="1">
      <alignment horizontal="center" vertical="center"/>
    </xf>
    <xf numFmtId="0" fontId="4" fillId="13" borderId="63" xfId="0" applyFont="1" applyFill="1" applyBorder="1" applyAlignment="1">
      <alignment horizontal="center" vertical="center"/>
    </xf>
    <xf numFmtId="0" fontId="0" fillId="9" borderId="28" xfId="0" applyFill="1" applyBorder="1" applyAlignment="1">
      <alignment horizontal="left"/>
    </xf>
    <xf numFmtId="43" fontId="26" fillId="13" borderId="45" xfId="0" applyNumberFormat="1" applyFont="1" applyFill="1" applyBorder="1" applyAlignment="1">
      <alignment horizontal="left"/>
    </xf>
    <xf numFmtId="43" fontId="26" fillId="13" borderId="46" xfId="0" applyNumberFormat="1" applyFont="1" applyFill="1" applyBorder="1" applyAlignment="1">
      <alignment horizontal="left"/>
    </xf>
    <xf numFmtId="43" fontId="26" fillId="13" borderId="51" xfId="0" applyNumberFormat="1" applyFont="1" applyFill="1" applyBorder="1" applyAlignment="1">
      <alignment horizontal="left"/>
    </xf>
    <xf numFmtId="43" fontId="23" fillId="4" borderId="45" xfId="0" applyNumberFormat="1" applyFont="1" applyFill="1" applyBorder="1" applyAlignment="1">
      <alignment horizontal="center"/>
    </xf>
    <xf numFmtId="43" fontId="23" fillId="4" borderId="46" xfId="0" applyNumberFormat="1" applyFont="1" applyFill="1" applyBorder="1" applyAlignment="1">
      <alignment horizontal="center"/>
    </xf>
    <xf numFmtId="43" fontId="23" fillId="4" borderId="51" xfId="0" applyNumberFormat="1" applyFont="1" applyFill="1" applyBorder="1" applyAlignment="1">
      <alignment horizontal="center"/>
    </xf>
    <xf numFmtId="43" fontId="16" fillId="13" borderId="46" xfId="0" applyNumberFormat="1" applyFont="1" applyFill="1" applyBorder="1" applyAlignment="1">
      <alignment horizontal="right"/>
    </xf>
    <xf numFmtId="43" fontId="16" fillId="13" borderId="51" xfId="0" applyNumberFormat="1" applyFont="1" applyFill="1" applyBorder="1" applyAlignment="1">
      <alignment horizontal="right"/>
    </xf>
    <xf numFmtId="43" fontId="16" fillId="13" borderId="46" xfId="0" applyNumberFormat="1" applyFont="1" applyFill="1" applyBorder="1" applyAlignment="1">
      <alignment horizontal="right" vertical="center"/>
    </xf>
    <xf numFmtId="43" fontId="16" fillId="13" borderId="51" xfId="0" applyNumberFormat="1" applyFont="1" applyFill="1" applyBorder="1" applyAlignment="1">
      <alignment horizontal="right" vertical="center"/>
    </xf>
    <xf numFmtId="43" fontId="16" fillId="13" borderId="45" xfId="0" applyNumberFormat="1" applyFont="1" applyFill="1" applyBorder="1" applyAlignment="1">
      <alignment horizontal="left"/>
    </xf>
    <xf numFmtId="43" fontId="16" fillId="13" borderId="46" xfId="0" applyNumberFormat="1" applyFont="1" applyFill="1" applyBorder="1" applyAlignment="1">
      <alignment horizontal="left"/>
    </xf>
    <xf numFmtId="43" fontId="16" fillId="13" borderId="51" xfId="0" applyNumberFormat="1" applyFont="1" applyFill="1" applyBorder="1" applyAlignment="1">
      <alignment horizontal="left"/>
    </xf>
  </cellXfs>
  <cellStyles count="138">
    <cellStyle name="Comma" xfId="1" builtinId="3"/>
    <cellStyle name="Comma 10" xfId="129" xr:uid="{00000000-0005-0000-0000-000001000000}"/>
    <cellStyle name="Comma 2" xfId="2" xr:uid="{00000000-0005-0000-0000-000002000000}"/>
    <cellStyle name="Comma 2 2" xfId="3" xr:uid="{00000000-0005-0000-0000-000003000000}"/>
    <cellStyle name="Comma 2 2 2" xfId="130" xr:uid="{00000000-0005-0000-0000-000004000000}"/>
    <cellStyle name="Comma 2 2 3" xfId="56" xr:uid="{00000000-0005-0000-0000-000005000000}"/>
    <cellStyle name="Comma 2 3" xfId="57" xr:uid="{00000000-0005-0000-0000-000006000000}"/>
    <cellStyle name="Comma 2 4" xfId="58" xr:uid="{00000000-0005-0000-0000-000007000000}"/>
    <cellStyle name="Comma 2 4 2" xfId="30" xr:uid="{00000000-0005-0000-0000-000008000000}"/>
    <cellStyle name="Comma 2 4 7" xfId="32" xr:uid="{00000000-0005-0000-0000-000009000000}"/>
    <cellStyle name="Comma 2 5" xfId="55" xr:uid="{00000000-0005-0000-0000-00000A000000}"/>
    <cellStyle name="Comma 2 6" xfId="111" xr:uid="{00000000-0005-0000-0000-00000B000000}"/>
    <cellStyle name="Comma 2 7" xfId="119" xr:uid="{00000000-0005-0000-0000-00000C000000}"/>
    <cellStyle name="Comma 2 8" xfId="134" xr:uid="{00000000-0005-0000-0000-00000D000000}"/>
    <cellStyle name="Comma 2 9" xfId="38" xr:uid="{00000000-0005-0000-0000-00000E000000}"/>
    <cellStyle name="Comma 22" xfId="36" xr:uid="{00000000-0005-0000-0000-00000F000000}"/>
    <cellStyle name="Comma 3" xfId="4" xr:uid="{00000000-0005-0000-0000-000010000000}"/>
    <cellStyle name="Comma 3 2" xfId="60" xr:uid="{00000000-0005-0000-0000-000011000000}"/>
    <cellStyle name="Comma 3 3" xfId="59" xr:uid="{00000000-0005-0000-0000-000012000000}"/>
    <cellStyle name="Comma 3 4" xfId="53" xr:uid="{00000000-0005-0000-0000-000013000000}"/>
    <cellStyle name="Comma 4" xfId="5" xr:uid="{00000000-0005-0000-0000-000014000000}"/>
    <cellStyle name="Comma 4 2" xfId="61" xr:uid="{00000000-0005-0000-0000-000015000000}"/>
    <cellStyle name="Comma 5" xfId="6" xr:uid="{00000000-0005-0000-0000-000016000000}"/>
    <cellStyle name="Comma 5 2" xfId="7" xr:uid="{00000000-0005-0000-0000-000017000000}"/>
    <cellStyle name="Comma 5 2 2" xfId="63" xr:uid="{00000000-0005-0000-0000-000018000000}"/>
    <cellStyle name="Comma 5 3" xfId="62" xr:uid="{00000000-0005-0000-0000-000019000000}"/>
    <cellStyle name="Comma 6" xfId="8" xr:uid="{00000000-0005-0000-0000-00001A000000}"/>
    <cellStyle name="Comma 6 2" xfId="29" xr:uid="{00000000-0005-0000-0000-00001B000000}"/>
    <cellStyle name="Comma 6 2 2" xfId="131" xr:uid="{00000000-0005-0000-0000-00001C000000}"/>
    <cellStyle name="Comma 6 3" xfId="64" xr:uid="{00000000-0005-0000-0000-00001D000000}"/>
    <cellStyle name="Comma 6 5" xfId="33" xr:uid="{00000000-0005-0000-0000-00001E000000}"/>
    <cellStyle name="Comma 7" xfId="9" xr:uid="{00000000-0005-0000-0000-00001F000000}"/>
    <cellStyle name="Comma 7 2" xfId="65" xr:uid="{00000000-0005-0000-0000-000020000000}"/>
    <cellStyle name="Comma 8" xfId="128" xr:uid="{00000000-0005-0000-0000-000021000000}"/>
    <cellStyle name="Comma_BOQPRE~1" xfId="27" xr:uid="{00000000-0005-0000-0000-000022000000}"/>
    <cellStyle name="Currency 2" xfId="10" xr:uid="{00000000-0005-0000-0000-000023000000}"/>
    <cellStyle name="Currency 2 2" xfId="66" xr:uid="{00000000-0005-0000-0000-000024000000}"/>
    <cellStyle name="Currency 2 3" xfId="67" xr:uid="{00000000-0005-0000-0000-000025000000}"/>
    <cellStyle name="Currency 2 4" xfId="39" xr:uid="{00000000-0005-0000-0000-000026000000}"/>
    <cellStyle name="Currency 3" xfId="68" xr:uid="{00000000-0005-0000-0000-000027000000}"/>
    <cellStyle name="Normal" xfId="0" builtinId="0"/>
    <cellStyle name="Normal 10" xfId="37" xr:uid="{00000000-0005-0000-0000-000029000000}"/>
    <cellStyle name="Normal 10 2" xfId="132" xr:uid="{00000000-0005-0000-0000-00002A000000}"/>
    <cellStyle name="Normal 11" xfId="110" xr:uid="{00000000-0005-0000-0000-00002B000000}"/>
    <cellStyle name="Normal 12" xfId="127" xr:uid="{00000000-0005-0000-0000-00002C000000}"/>
    <cellStyle name="Normal 13" xfId="133" xr:uid="{00000000-0005-0000-0000-00002D000000}"/>
    <cellStyle name="Normal 2" xfId="11" xr:uid="{00000000-0005-0000-0000-00002E000000}"/>
    <cellStyle name="Normal 2 10" xfId="70" xr:uid="{00000000-0005-0000-0000-00002F000000}"/>
    <cellStyle name="Normal 2 10 10" xfId="28" xr:uid="{00000000-0005-0000-0000-000030000000}"/>
    <cellStyle name="Normal 2 11" xfId="71" xr:uid="{00000000-0005-0000-0000-000031000000}"/>
    <cellStyle name="Normal 2 12" xfId="69" xr:uid="{00000000-0005-0000-0000-000032000000}"/>
    <cellStyle name="Normal 2 13" xfId="112" xr:uid="{00000000-0005-0000-0000-000033000000}"/>
    <cellStyle name="Normal 2 14" xfId="120" xr:uid="{00000000-0005-0000-0000-000034000000}"/>
    <cellStyle name="Normal 2 15" xfId="40" xr:uid="{00000000-0005-0000-0000-000035000000}"/>
    <cellStyle name="Normal 2 2" xfId="12" xr:uid="{00000000-0005-0000-0000-000036000000}"/>
    <cellStyle name="Normal 2 2 2" xfId="73" xr:uid="{00000000-0005-0000-0000-000037000000}"/>
    <cellStyle name="Normal 2 2 2 2" xfId="137" xr:uid="{00000000-0005-0000-0000-000038000000}"/>
    <cellStyle name="Normal 2 2 2 3" xfId="136" xr:uid="{00000000-0005-0000-0000-000039000000}"/>
    <cellStyle name="Normal 2 2 3" xfId="74" xr:uid="{00000000-0005-0000-0000-00003A000000}"/>
    <cellStyle name="Normal 2 2 4" xfId="75" xr:uid="{00000000-0005-0000-0000-00003B000000}"/>
    <cellStyle name="Normal 2 2 5" xfId="72" xr:uid="{00000000-0005-0000-0000-00003C000000}"/>
    <cellStyle name="Normal 2 2 6" xfId="113" xr:uid="{00000000-0005-0000-0000-00003D000000}"/>
    <cellStyle name="Normal 2 2 7" xfId="121" xr:uid="{00000000-0005-0000-0000-00003E000000}"/>
    <cellStyle name="Normal 2 2 8" xfId="41" xr:uid="{00000000-0005-0000-0000-00003F000000}"/>
    <cellStyle name="Normal 2 3" xfId="13" xr:uid="{00000000-0005-0000-0000-000040000000}"/>
    <cellStyle name="Normal 2 3 2" xfId="77" xr:uid="{00000000-0005-0000-0000-000041000000}"/>
    <cellStyle name="Normal 2 3 3" xfId="78" xr:uid="{00000000-0005-0000-0000-000042000000}"/>
    <cellStyle name="Normal 2 3 4" xfId="79" xr:uid="{00000000-0005-0000-0000-000043000000}"/>
    <cellStyle name="Normal 2 3 5" xfId="76" xr:uid="{00000000-0005-0000-0000-000044000000}"/>
    <cellStyle name="Normal 2 3 6" xfId="114" xr:uid="{00000000-0005-0000-0000-000045000000}"/>
    <cellStyle name="Normal 2 3 7" xfId="122" xr:uid="{00000000-0005-0000-0000-000046000000}"/>
    <cellStyle name="Normal 2 3 8" xfId="42" xr:uid="{00000000-0005-0000-0000-000047000000}"/>
    <cellStyle name="Normal 2 4" xfId="14" xr:uid="{00000000-0005-0000-0000-000048000000}"/>
    <cellStyle name="Normal 2 4 2" xfId="81" xr:uid="{00000000-0005-0000-0000-000049000000}"/>
    <cellStyle name="Normal 2 4 3" xfId="82" xr:uid="{00000000-0005-0000-0000-00004A000000}"/>
    <cellStyle name="Normal 2 4 4" xfId="83" xr:uid="{00000000-0005-0000-0000-00004B000000}"/>
    <cellStyle name="Normal 2 4 5" xfId="80" xr:uid="{00000000-0005-0000-0000-00004C000000}"/>
    <cellStyle name="Normal 2 4 6" xfId="115" xr:uid="{00000000-0005-0000-0000-00004D000000}"/>
    <cellStyle name="Normal 2 4 7" xfId="123" xr:uid="{00000000-0005-0000-0000-00004E000000}"/>
    <cellStyle name="Normal 2 4 8" xfId="43" xr:uid="{00000000-0005-0000-0000-00004F000000}"/>
    <cellStyle name="Normal 2 5" xfId="15" xr:uid="{00000000-0005-0000-0000-000050000000}"/>
    <cellStyle name="Normal 2 5 2" xfId="85" xr:uid="{00000000-0005-0000-0000-000051000000}"/>
    <cellStyle name="Normal 2 5 3" xfId="86" xr:uid="{00000000-0005-0000-0000-000052000000}"/>
    <cellStyle name="Normal 2 5 4" xfId="87" xr:uid="{00000000-0005-0000-0000-000053000000}"/>
    <cellStyle name="Normal 2 5 5" xfId="84" xr:uid="{00000000-0005-0000-0000-000054000000}"/>
    <cellStyle name="Normal 2 5 6" xfId="116" xr:uid="{00000000-0005-0000-0000-000055000000}"/>
    <cellStyle name="Normal 2 5 7" xfId="124" xr:uid="{00000000-0005-0000-0000-000056000000}"/>
    <cellStyle name="Normal 2 5 8" xfId="44" xr:uid="{00000000-0005-0000-0000-000057000000}"/>
    <cellStyle name="Normal 2 6" xfId="16" xr:uid="{00000000-0005-0000-0000-000058000000}"/>
    <cellStyle name="Normal 2 6 2" xfId="89" xr:uid="{00000000-0005-0000-0000-000059000000}"/>
    <cellStyle name="Normal 2 6 3" xfId="90" xr:uid="{00000000-0005-0000-0000-00005A000000}"/>
    <cellStyle name="Normal 2 6 4" xfId="91" xr:uid="{00000000-0005-0000-0000-00005B000000}"/>
    <cellStyle name="Normal 2 6 5" xfId="88" xr:uid="{00000000-0005-0000-0000-00005C000000}"/>
    <cellStyle name="Normal 2 6 6" xfId="117" xr:uid="{00000000-0005-0000-0000-00005D000000}"/>
    <cellStyle name="Normal 2 6 7" xfId="125" xr:uid="{00000000-0005-0000-0000-00005E000000}"/>
    <cellStyle name="Normal 2 6 8" xfId="45" xr:uid="{00000000-0005-0000-0000-00005F000000}"/>
    <cellStyle name="Normal 2 7" xfId="17" xr:uid="{00000000-0005-0000-0000-000060000000}"/>
    <cellStyle name="Normal 2 7 2" xfId="93" xr:uid="{00000000-0005-0000-0000-000061000000}"/>
    <cellStyle name="Normal 2 7 3" xfId="94" xr:uid="{00000000-0005-0000-0000-000062000000}"/>
    <cellStyle name="Normal 2 7 4" xfId="95" xr:uid="{00000000-0005-0000-0000-000063000000}"/>
    <cellStyle name="Normal 2 7 5" xfId="92" xr:uid="{00000000-0005-0000-0000-000064000000}"/>
    <cellStyle name="Normal 2 7 6" xfId="118" xr:uid="{00000000-0005-0000-0000-000065000000}"/>
    <cellStyle name="Normal 2 7 7" xfId="126" xr:uid="{00000000-0005-0000-0000-000066000000}"/>
    <cellStyle name="Normal 2 7 8" xfId="46" xr:uid="{00000000-0005-0000-0000-000067000000}"/>
    <cellStyle name="Normal 2 8" xfId="18" xr:uid="{00000000-0005-0000-0000-000068000000}"/>
    <cellStyle name="Normal 2 8 2" xfId="96" xr:uid="{00000000-0005-0000-0000-000069000000}"/>
    <cellStyle name="Normal 2 9" xfId="97" xr:uid="{00000000-0005-0000-0000-00006A000000}"/>
    <cellStyle name="Normal 3" xfId="19" xr:uid="{00000000-0005-0000-0000-00006B000000}"/>
    <cellStyle name="Normal 3 2" xfId="99" xr:uid="{00000000-0005-0000-0000-00006C000000}"/>
    <cellStyle name="Normal 3 3" xfId="100" xr:uid="{00000000-0005-0000-0000-00006D000000}"/>
    <cellStyle name="Normal 3 3 2" xfId="101" xr:uid="{00000000-0005-0000-0000-00006E000000}"/>
    <cellStyle name="Normal 3 4" xfId="98" xr:uid="{00000000-0005-0000-0000-00006F000000}"/>
    <cellStyle name="Normal 3 5" xfId="52" xr:uid="{00000000-0005-0000-0000-000070000000}"/>
    <cellStyle name="Normal 31" xfId="34" xr:uid="{00000000-0005-0000-0000-000071000000}"/>
    <cellStyle name="Normal 4" xfId="20" xr:uid="{00000000-0005-0000-0000-000072000000}"/>
    <cellStyle name="Normal 4 2" xfId="47" xr:uid="{00000000-0005-0000-0000-000073000000}"/>
    <cellStyle name="Normal 4 3" xfId="31" xr:uid="{00000000-0005-0000-0000-000074000000}"/>
    <cellStyle name="Normal 4 67" xfId="35" xr:uid="{00000000-0005-0000-0000-000075000000}"/>
    <cellStyle name="Normal 5" xfId="21" xr:uid="{00000000-0005-0000-0000-000076000000}"/>
    <cellStyle name="Normal 5 2" xfId="48" xr:uid="{00000000-0005-0000-0000-000077000000}"/>
    <cellStyle name="Normal 6" xfId="22" xr:uid="{00000000-0005-0000-0000-000078000000}"/>
    <cellStyle name="Normal 6 2" xfId="49" xr:uid="{00000000-0005-0000-0000-000079000000}"/>
    <cellStyle name="Normal 7" xfId="23" xr:uid="{00000000-0005-0000-0000-00007A000000}"/>
    <cellStyle name="Normal 7 2" xfId="50" xr:uid="{00000000-0005-0000-0000-00007B000000}"/>
    <cellStyle name="Normal 8" xfId="24" xr:uid="{00000000-0005-0000-0000-00007C000000}"/>
    <cellStyle name="Normal 8 2" xfId="103" xr:uid="{00000000-0005-0000-0000-00007D000000}"/>
    <cellStyle name="Normal 8 3" xfId="102" xr:uid="{00000000-0005-0000-0000-00007E000000}"/>
    <cellStyle name="Normal 9" xfId="104" xr:uid="{00000000-0005-0000-0000-00007F000000}"/>
    <cellStyle name="Output 2" xfId="25" xr:uid="{00000000-0005-0000-0000-000081000000}"/>
    <cellStyle name="Percent 2" xfId="26" xr:uid="{00000000-0005-0000-0000-000082000000}"/>
    <cellStyle name="Percent 2 2" xfId="51" xr:uid="{00000000-0005-0000-0000-000083000000}"/>
    <cellStyle name="Percent 3" xfId="54" xr:uid="{00000000-0005-0000-0000-000084000000}"/>
    <cellStyle name="Percent 3 2" xfId="105" xr:uid="{00000000-0005-0000-0000-000085000000}"/>
    <cellStyle name="Percent 4" xfId="106" xr:uid="{00000000-0005-0000-0000-000086000000}"/>
    <cellStyle name="Percent 4 2" xfId="107" xr:uid="{00000000-0005-0000-0000-000087000000}"/>
    <cellStyle name="Percent 5" xfId="108" xr:uid="{00000000-0005-0000-0000-000088000000}"/>
    <cellStyle name="Percent 6" xfId="109" xr:uid="{00000000-0005-0000-0000-000089000000}"/>
    <cellStyle name="Percent 7" xfId="135" xr:uid="{00000000-0005-0000-0000-00008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16.6.107\Projects\Users\nahid\white%20ork\BOQ%20for%207%20storey%20bld.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 s"/>
      <sheetName val="Loan Calculator"/>
      <sheetName val="material list (fdn)"/>
      <sheetName val="summary"/>
      <sheetName val="concrete boq"/>
      <sheetName val=" boq"/>
      <sheetName val="rate"/>
      <sheetName val="material list"/>
      <sheetName val="workings"/>
      <sheetName val="prelims"/>
      <sheetName val="concrete"/>
      <sheetName val="masonr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H487"/>
  <sheetViews>
    <sheetView view="pageBreakPreview" topLeftCell="A21" zoomScale="85" zoomScaleNormal="100" zoomScaleSheetLayoutView="85" workbookViewId="0">
      <selection activeCell="M22" sqref="M22"/>
    </sheetView>
  </sheetViews>
  <sheetFormatPr defaultColWidth="11.42578125" defaultRowHeight="12.75"/>
  <cols>
    <col min="1" max="16384" width="11.42578125" style="8"/>
  </cols>
  <sheetData>
    <row r="1" spans="1:8">
      <c r="A1" s="635"/>
      <c r="B1" s="69"/>
      <c r="C1" s="69"/>
      <c r="D1" s="69"/>
      <c r="E1" s="69"/>
      <c r="F1" s="69"/>
      <c r="G1" s="69"/>
      <c r="H1" s="70"/>
    </row>
    <row r="2" spans="1:8">
      <c r="A2" s="306"/>
      <c r="H2" s="636"/>
    </row>
    <row r="3" spans="1:8" ht="22.5">
      <c r="A3" s="637"/>
      <c r="B3" s="638"/>
      <c r="C3" s="638"/>
      <c r="D3" s="638"/>
      <c r="E3" s="638"/>
      <c r="F3" s="638"/>
      <c r="H3" s="636"/>
    </row>
    <row r="4" spans="1:8" ht="22.5">
      <c r="A4" s="710"/>
      <c r="B4" s="711"/>
      <c r="C4" s="711"/>
      <c r="D4" s="711"/>
      <c r="E4" s="711"/>
      <c r="F4" s="711"/>
      <c r="G4" s="10"/>
      <c r="H4" s="701"/>
    </row>
    <row r="5" spans="1:8" ht="22.5">
      <c r="A5" s="710"/>
      <c r="B5" s="711"/>
      <c r="C5" s="711"/>
      <c r="D5" s="711"/>
      <c r="E5" s="711"/>
      <c r="F5" s="711"/>
      <c r="G5" s="10"/>
      <c r="H5" s="701"/>
    </row>
    <row r="6" spans="1:8" ht="33">
      <c r="A6" s="865" t="s">
        <v>0</v>
      </c>
      <c r="B6" s="866"/>
      <c r="C6" s="866"/>
      <c r="D6" s="866"/>
      <c r="E6" s="866"/>
      <c r="F6" s="866"/>
      <c r="G6" s="866"/>
      <c r="H6" s="867"/>
    </row>
    <row r="7" spans="1:8" ht="22.5">
      <c r="A7" s="877"/>
      <c r="B7" s="878"/>
      <c r="C7" s="878"/>
      <c r="D7" s="878"/>
      <c r="E7" s="878"/>
      <c r="F7" s="878"/>
      <c r="G7" s="10"/>
      <c r="H7" s="701"/>
    </row>
    <row r="8" spans="1:8" ht="12.75" customHeight="1">
      <c r="A8" s="868"/>
      <c r="B8" s="869"/>
      <c r="C8" s="869"/>
      <c r="D8" s="869"/>
      <c r="E8" s="869"/>
      <c r="F8" s="869"/>
      <c r="G8" s="869"/>
      <c r="H8" s="870"/>
    </row>
    <row r="9" spans="1:8" ht="15.75">
      <c r="A9" s="871"/>
      <c r="B9" s="872"/>
      <c r="C9" s="872"/>
      <c r="D9" s="872"/>
      <c r="E9" s="872"/>
      <c r="F9" s="872"/>
      <c r="G9" s="872"/>
      <c r="H9" s="873"/>
    </row>
    <row r="10" spans="1:8" ht="18.75">
      <c r="A10" s="882"/>
      <c r="B10" s="883"/>
      <c r="C10" s="883"/>
      <c r="D10" s="883"/>
      <c r="E10" s="883"/>
      <c r="F10" s="883"/>
      <c r="G10" s="883"/>
      <c r="H10" s="701"/>
    </row>
    <row r="11" spans="1:8" ht="39.75" customHeight="1">
      <c r="A11" s="874" t="s">
        <v>1</v>
      </c>
      <c r="B11" s="875"/>
      <c r="C11" s="875"/>
      <c r="D11" s="875"/>
      <c r="E11" s="875"/>
      <c r="F11" s="875"/>
      <c r="G11" s="875"/>
      <c r="H11" s="876"/>
    </row>
    <row r="12" spans="1:8" ht="15" customHeight="1">
      <c r="A12" s="639"/>
      <c r="B12" s="640"/>
      <c r="C12" s="640"/>
      <c r="D12" s="640"/>
      <c r="E12" s="640"/>
      <c r="F12" s="640"/>
      <c r="G12" s="640"/>
      <c r="H12" s="641"/>
    </row>
    <row r="13" spans="1:8" ht="18.75" customHeight="1">
      <c r="A13" s="879"/>
      <c r="B13" s="880"/>
      <c r="C13" s="880"/>
      <c r="D13" s="880"/>
      <c r="E13" s="880"/>
      <c r="F13" s="880"/>
      <c r="G13" s="880"/>
      <c r="H13" s="881"/>
    </row>
    <row r="14" spans="1:8" ht="18.75" customHeight="1">
      <c r="A14" s="642"/>
      <c r="B14" s="643"/>
      <c r="C14" s="643"/>
      <c r="D14" s="643"/>
      <c r="E14" s="643"/>
      <c r="F14" s="643"/>
      <c r="G14" s="643"/>
      <c r="H14" s="644"/>
    </row>
    <row r="15" spans="1:8" ht="18.75" customHeight="1">
      <c r="A15" s="642"/>
      <c r="B15" s="643"/>
      <c r="C15" s="643"/>
      <c r="D15" s="643"/>
      <c r="E15" s="643"/>
      <c r="F15" s="643"/>
      <c r="G15" s="643"/>
      <c r="H15" s="644"/>
    </row>
    <row r="16" spans="1:8" ht="18.75" customHeight="1">
      <c r="A16" s="642"/>
      <c r="B16" s="643"/>
      <c r="C16" s="643"/>
      <c r="D16" s="643"/>
      <c r="E16" s="643"/>
      <c r="F16" s="643"/>
      <c r="G16" s="643"/>
      <c r="H16" s="644"/>
    </row>
    <row r="17" spans="1:8" ht="18.75" customHeight="1">
      <c r="A17" s="642"/>
      <c r="B17" s="643"/>
      <c r="C17" s="643"/>
      <c r="D17" s="643"/>
      <c r="E17" s="643"/>
      <c r="F17" s="643"/>
      <c r="G17" s="643"/>
      <c r="H17" s="644"/>
    </row>
    <row r="18" spans="1:8" ht="18.75" customHeight="1">
      <c r="A18" s="642"/>
      <c r="B18" s="643"/>
      <c r="C18" s="643"/>
      <c r="D18" s="643"/>
      <c r="E18" s="643"/>
      <c r="F18" s="643"/>
      <c r="G18" s="643"/>
      <c r="H18" s="644"/>
    </row>
    <row r="19" spans="1:8" ht="18.75" customHeight="1">
      <c r="A19" s="642"/>
      <c r="B19" s="643"/>
      <c r="C19" s="643"/>
      <c r="D19" s="643"/>
      <c r="E19" s="643"/>
      <c r="F19" s="643"/>
      <c r="G19" s="643"/>
      <c r="H19" s="644"/>
    </row>
    <row r="20" spans="1:8" ht="18.75" customHeight="1">
      <c r="A20" s="642"/>
      <c r="B20" s="643"/>
      <c r="C20" s="643"/>
      <c r="D20" s="643"/>
      <c r="E20" s="643"/>
      <c r="F20" s="643"/>
      <c r="G20" s="643"/>
      <c r="H20" s="644"/>
    </row>
    <row r="21" spans="1:8" ht="18.75" customHeight="1">
      <c r="A21" s="642"/>
      <c r="B21" s="643"/>
      <c r="C21" s="643"/>
      <c r="D21" s="643"/>
      <c r="E21" s="643"/>
      <c r="F21" s="643"/>
      <c r="G21" s="643"/>
      <c r="H21" s="644"/>
    </row>
    <row r="22" spans="1:8" ht="18.75" customHeight="1">
      <c r="A22" s="642"/>
      <c r="B22" s="643"/>
      <c r="C22" s="643"/>
      <c r="D22" s="643"/>
      <c r="E22" s="643"/>
      <c r="F22" s="643"/>
      <c r="G22" s="643"/>
      <c r="H22" s="644"/>
    </row>
    <row r="23" spans="1:8" ht="18.75" customHeight="1">
      <c r="A23" s="642"/>
      <c r="B23" s="643"/>
      <c r="C23" s="643"/>
      <c r="D23" s="643"/>
      <c r="E23" s="643"/>
      <c r="F23" s="643"/>
      <c r="G23" s="643"/>
      <c r="H23" s="644"/>
    </row>
    <row r="24" spans="1:8" ht="18.75" customHeight="1">
      <c r="A24" s="642"/>
      <c r="B24" s="643"/>
      <c r="C24" s="643"/>
      <c r="D24" s="643"/>
      <c r="E24" s="643"/>
      <c r="F24" s="643"/>
      <c r="G24" s="643"/>
      <c r="H24" s="644"/>
    </row>
    <row r="25" spans="1:8" ht="18.75" customHeight="1">
      <c r="A25" s="642"/>
      <c r="B25" s="643"/>
      <c r="C25" s="643"/>
      <c r="D25" s="643"/>
      <c r="E25" s="643"/>
      <c r="F25" s="643"/>
      <c r="G25" s="643"/>
      <c r="H25" s="644"/>
    </row>
    <row r="26" spans="1:8" ht="18.75" customHeight="1">
      <c r="A26" s="642"/>
      <c r="B26" s="643"/>
      <c r="C26" s="643"/>
      <c r="D26" s="643"/>
      <c r="E26" s="643"/>
      <c r="F26" s="643"/>
      <c r="G26" s="643"/>
      <c r="H26" s="644"/>
    </row>
    <row r="27" spans="1:8" ht="18.75" customHeight="1">
      <c r="A27" s="642"/>
      <c r="B27" s="643"/>
      <c r="C27" s="643"/>
      <c r="D27" s="643"/>
      <c r="E27" s="643"/>
      <c r="F27" s="643"/>
      <c r="G27" s="643"/>
      <c r="H27" s="644"/>
    </row>
    <row r="28" spans="1:8" ht="18.75" customHeight="1">
      <c r="A28" s="879"/>
      <c r="B28" s="880"/>
      <c r="C28" s="880"/>
      <c r="D28" s="880"/>
      <c r="E28" s="880"/>
      <c r="F28" s="880"/>
      <c r="G28" s="880"/>
      <c r="H28" s="881"/>
    </row>
    <row r="29" spans="1:8" ht="18.75" customHeight="1">
      <c r="A29" s="879"/>
      <c r="B29" s="880"/>
      <c r="C29" s="880"/>
      <c r="D29" s="880"/>
      <c r="E29" s="880"/>
      <c r="F29" s="880"/>
      <c r="G29" s="880"/>
      <c r="H29" s="881"/>
    </row>
    <row r="30" spans="1:8">
      <c r="A30" s="700"/>
      <c r="B30" s="10"/>
      <c r="C30" s="10"/>
      <c r="D30" s="10"/>
      <c r="E30" s="10"/>
      <c r="F30" s="10"/>
      <c r="G30" s="10"/>
      <c r="H30" s="701"/>
    </row>
    <row r="31" spans="1:8" ht="18.75">
      <c r="A31" s="645"/>
      <c r="B31" s="646"/>
      <c r="C31" s="646"/>
      <c r="D31" s="646"/>
      <c r="E31" s="646"/>
      <c r="F31" s="646"/>
      <c r="G31" s="646"/>
      <c r="H31" s="701"/>
    </row>
    <row r="32" spans="1:8" ht="18.75">
      <c r="A32" s="882" t="s">
        <v>2</v>
      </c>
      <c r="B32" s="883"/>
      <c r="C32" s="883"/>
      <c r="D32" s="883"/>
      <c r="E32" s="883"/>
      <c r="F32" s="883"/>
      <c r="G32" s="883"/>
      <c r="H32" s="887"/>
    </row>
    <row r="33" spans="1:8" ht="18.75">
      <c r="A33" s="882"/>
      <c r="B33" s="883"/>
      <c r="C33" s="883"/>
      <c r="D33" s="883"/>
      <c r="E33" s="883"/>
      <c r="F33" s="883"/>
      <c r="G33" s="883"/>
      <c r="H33" s="701"/>
    </row>
    <row r="34" spans="1:8" ht="18.75">
      <c r="A34" s="884" t="s">
        <v>3</v>
      </c>
      <c r="B34" s="885"/>
      <c r="C34" s="885"/>
      <c r="D34" s="885"/>
      <c r="E34" s="885"/>
      <c r="F34" s="885"/>
      <c r="G34" s="885"/>
      <c r="H34" s="886"/>
    </row>
    <row r="35" spans="1:8" ht="18.75">
      <c r="A35" s="645"/>
      <c r="B35" s="646"/>
      <c r="C35" s="646"/>
      <c r="D35" s="646"/>
      <c r="E35" s="646"/>
      <c r="F35" s="646"/>
      <c r="G35" s="10"/>
      <c r="H35" s="701"/>
    </row>
    <row r="36" spans="1:8">
      <c r="A36" s="700"/>
      <c r="B36" s="10"/>
      <c r="C36" s="10"/>
      <c r="D36" s="10"/>
      <c r="E36" s="10"/>
      <c r="F36" s="10"/>
      <c r="G36" s="10"/>
      <c r="H36" s="701"/>
    </row>
    <row r="37" spans="1:8" ht="13.5" thickBot="1">
      <c r="A37" s="712"/>
      <c r="B37" s="713"/>
      <c r="C37" s="713"/>
      <c r="D37" s="713"/>
      <c r="E37" s="713"/>
      <c r="F37" s="713"/>
      <c r="G37" s="713"/>
      <c r="H37" s="714"/>
    </row>
    <row r="342" spans="1:6">
      <c r="A342" s="727"/>
      <c r="B342" s="728"/>
      <c r="C342" s="728"/>
      <c r="D342" s="728"/>
      <c r="E342" s="728"/>
      <c r="F342" s="729"/>
    </row>
    <row r="343" spans="1:6">
      <c r="F343" s="721"/>
    </row>
    <row r="344" spans="1:6">
      <c r="F344" s="721"/>
    </row>
    <row r="345" spans="1:6">
      <c r="F345" s="721"/>
    </row>
    <row r="346" spans="1:6">
      <c r="F346" s="721"/>
    </row>
    <row r="347" spans="1:6">
      <c r="F347" s="721"/>
    </row>
    <row r="348" spans="1:6">
      <c r="F348" s="721"/>
    </row>
    <row r="349" spans="1:6">
      <c r="F349" s="721"/>
    </row>
    <row r="350" spans="1:6">
      <c r="F350" s="721"/>
    </row>
    <row r="351" spans="1:6">
      <c r="F351" s="721"/>
    </row>
    <row r="352" spans="1:6">
      <c r="F352" s="721"/>
    </row>
    <row r="353" spans="6:6">
      <c r="F353" s="721"/>
    </row>
    <row r="354" spans="6:6">
      <c r="F354" s="721"/>
    </row>
    <row r="355" spans="6:6">
      <c r="F355" s="721"/>
    </row>
    <row r="356" spans="6:6">
      <c r="F356" s="721"/>
    </row>
    <row r="357" spans="6:6">
      <c r="F357" s="721"/>
    </row>
    <row r="358" spans="6:6">
      <c r="F358" s="721"/>
    </row>
    <row r="359" spans="6:6">
      <c r="F359" s="721"/>
    </row>
    <row r="360" spans="6:6">
      <c r="F360" s="721"/>
    </row>
    <row r="361" spans="6:6">
      <c r="F361" s="721"/>
    </row>
    <row r="362" spans="6:6">
      <c r="F362" s="721"/>
    </row>
    <row r="363" spans="6:6">
      <c r="F363" s="721"/>
    </row>
    <row r="364" spans="6:6">
      <c r="F364" s="721"/>
    </row>
    <row r="365" spans="6:6">
      <c r="F365" s="721"/>
    </row>
    <row r="366" spans="6:6">
      <c r="F366" s="721"/>
    </row>
    <row r="367" spans="6:6">
      <c r="F367" s="721"/>
    </row>
    <row r="368" spans="6:6">
      <c r="F368" s="721"/>
    </row>
    <row r="369" spans="6:6">
      <c r="F369" s="721"/>
    </row>
    <row r="370" spans="6:6">
      <c r="F370" s="721"/>
    </row>
    <row r="371" spans="6:6">
      <c r="F371" s="721"/>
    </row>
    <row r="372" spans="6:6">
      <c r="F372" s="721"/>
    </row>
    <row r="373" spans="6:6">
      <c r="F373" s="721"/>
    </row>
    <row r="374" spans="6:6">
      <c r="F374" s="721"/>
    </row>
    <row r="375" spans="6:6">
      <c r="F375" s="721"/>
    </row>
    <row r="376" spans="6:6">
      <c r="F376" s="721"/>
    </row>
    <row r="377" spans="6:6">
      <c r="F377" s="721"/>
    </row>
    <row r="378" spans="6:6">
      <c r="F378" s="721"/>
    </row>
    <row r="379" spans="6:6">
      <c r="F379" s="721"/>
    </row>
    <row r="380" spans="6:6">
      <c r="F380" s="721"/>
    </row>
    <row r="381" spans="6:6">
      <c r="F381" s="721"/>
    </row>
    <row r="382" spans="6:6">
      <c r="F382" s="721"/>
    </row>
    <row r="383" spans="6:6">
      <c r="F383" s="721"/>
    </row>
    <row r="384" spans="6:6">
      <c r="F384" s="721"/>
    </row>
    <row r="385" spans="1:6">
      <c r="F385" s="721"/>
    </row>
    <row r="386" spans="1:6">
      <c r="F386" s="721"/>
    </row>
    <row r="387" spans="1:6">
      <c r="F387" s="721"/>
    </row>
    <row r="388" spans="1:6">
      <c r="F388" s="721"/>
    </row>
    <row r="389" spans="1:6">
      <c r="F389" s="721"/>
    </row>
    <row r="390" spans="1:6">
      <c r="F390" s="721"/>
    </row>
    <row r="391" spans="1:6">
      <c r="F391" s="721"/>
    </row>
    <row r="392" spans="1:6">
      <c r="F392" s="721"/>
    </row>
    <row r="393" spans="1:6">
      <c r="F393" s="721"/>
    </row>
    <row r="394" spans="1:6">
      <c r="F394" s="721"/>
    </row>
    <row r="395" spans="1:6">
      <c r="F395" s="721"/>
    </row>
    <row r="396" spans="1:6">
      <c r="F396" s="721"/>
    </row>
    <row r="397" spans="1:6">
      <c r="F397" s="721"/>
    </row>
    <row r="398" spans="1:6">
      <c r="F398" s="721"/>
    </row>
    <row r="399" spans="1:6">
      <c r="A399" s="728"/>
      <c r="B399" s="728"/>
      <c r="C399" s="728"/>
      <c r="D399" s="728"/>
      <c r="E399" s="728"/>
      <c r="F399" s="729"/>
    </row>
    <row r="400" spans="1:6">
      <c r="F400" s="721"/>
    </row>
    <row r="401" spans="6:6">
      <c r="F401" s="721"/>
    </row>
    <row r="402" spans="6:6">
      <c r="F402" s="721"/>
    </row>
    <row r="403" spans="6:6">
      <c r="F403" s="721"/>
    </row>
    <row r="404" spans="6:6">
      <c r="F404" s="721"/>
    </row>
    <row r="405" spans="6:6">
      <c r="F405" s="721"/>
    </row>
    <row r="406" spans="6:6">
      <c r="F406" s="721"/>
    </row>
    <row r="407" spans="6:6">
      <c r="F407" s="721"/>
    </row>
    <row r="408" spans="6:6">
      <c r="F408" s="721"/>
    </row>
    <row r="409" spans="6:6">
      <c r="F409" s="721"/>
    </row>
    <row r="410" spans="6:6">
      <c r="F410" s="721"/>
    </row>
    <row r="411" spans="6:6">
      <c r="F411" s="721"/>
    </row>
    <row r="412" spans="6:6">
      <c r="F412" s="721"/>
    </row>
    <row r="413" spans="6:6">
      <c r="F413" s="721"/>
    </row>
    <row r="414" spans="6:6">
      <c r="F414" s="721"/>
    </row>
    <row r="415" spans="6:6">
      <c r="F415" s="721"/>
    </row>
    <row r="416" spans="6:6">
      <c r="F416" s="721"/>
    </row>
    <row r="417" spans="6:6">
      <c r="F417" s="721"/>
    </row>
    <row r="418" spans="6:6">
      <c r="F418" s="721"/>
    </row>
    <row r="419" spans="6:6">
      <c r="F419" s="721"/>
    </row>
    <row r="420" spans="6:6">
      <c r="F420" s="721"/>
    </row>
    <row r="421" spans="6:6">
      <c r="F421" s="721"/>
    </row>
    <row r="422" spans="6:6">
      <c r="F422" s="721"/>
    </row>
    <row r="423" spans="6:6">
      <c r="F423" s="721"/>
    </row>
    <row r="424" spans="6:6">
      <c r="F424" s="721"/>
    </row>
    <row r="425" spans="6:6">
      <c r="F425" s="721"/>
    </row>
    <row r="426" spans="6:6">
      <c r="F426" s="721"/>
    </row>
    <row r="427" spans="6:6">
      <c r="F427" s="721"/>
    </row>
    <row r="428" spans="6:6">
      <c r="F428" s="721"/>
    </row>
    <row r="429" spans="6:6">
      <c r="F429" s="721"/>
    </row>
    <row r="430" spans="6:6">
      <c r="F430" s="721"/>
    </row>
    <row r="431" spans="6:6">
      <c r="F431" s="721"/>
    </row>
    <row r="432" spans="6:6">
      <c r="F432" s="721"/>
    </row>
    <row r="433" spans="6:6">
      <c r="F433" s="721"/>
    </row>
    <row r="434" spans="6:6">
      <c r="F434" s="721"/>
    </row>
    <row r="435" spans="6:6">
      <c r="F435" s="721"/>
    </row>
    <row r="436" spans="6:6">
      <c r="F436" s="721"/>
    </row>
    <row r="437" spans="6:6">
      <c r="F437" s="721"/>
    </row>
    <row r="438" spans="6:6">
      <c r="F438" s="721"/>
    </row>
    <row r="439" spans="6:6">
      <c r="F439" s="721"/>
    </row>
    <row r="440" spans="6:6">
      <c r="F440" s="721"/>
    </row>
    <row r="441" spans="6:6">
      <c r="F441" s="721"/>
    </row>
    <row r="442" spans="6:6">
      <c r="F442" s="721"/>
    </row>
    <row r="443" spans="6:6">
      <c r="F443" s="721"/>
    </row>
    <row r="444" spans="6:6">
      <c r="F444" s="721"/>
    </row>
    <row r="445" spans="6:6">
      <c r="F445" s="721"/>
    </row>
    <row r="446" spans="6:6">
      <c r="F446" s="721"/>
    </row>
    <row r="447" spans="6:6">
      <c r="F447" s="721"/>
    </row>
    <row r="448" spans="6:6">
      <c r="F448" s="721"/>
    </row>
    <row r="449" spans="1:6">
      <c r="F449" s="721"/>
    </row>
    <row r="450" spans="1:6">
      <c r="A450" s="728"/>
      <c r="B450" s="728"/>
      <c r="C450" s="728"/>
      <c r="D450" s="728"/>
      <c r="E450" s="728"/>
      <c r="F450" s="729"/>
    </row>
    <row r="451" spans="1:6">
      <c r="F451" s="721"/>
    </row>
    <row r="452" spans="1:6">
      <c r="F452" s="721"/>
    </row>
    <row r="453" spans="1:6">
      <c r="F453" s="721"/>
    </row>
    <row r="454" spans="1:6">
      <c r="F454" s="721"/>
    </row>
    <row r="455" spans="1:6">
      <c r="B455" s="669" t="s">
        <v>4</v>
      </c>
      <c r="F455" s="721"/>
    </row>
    <row r="456" spans="1:6">
      <c r="F456" s="721"/>
    </row>
    <row r="457" spans="1:6">
      <c r="F457" s="721"/>
    </row>
    <row r="458" spans="1:6">
      <c r="F458" s="721"/>
    </row>
    <row r="459" spans="1:6">
      <c r="F459" s="721"/>
    </row>
    <row r="460" spans="1:6">
      <c r="F460" s="721"/>
    </row>
    <row r="461" spans="1:6">
      <c r="F461" s="721"/>
    </row>
    <row r="462" spans="1:6">
      <c r="F462" s="721"/>
    </row>
    <row r="463" spans="1:6">
      <c r="F463" s="721"/>
    </row>
    <row r="464" spans="1:6">
      <c r="F464" s="721"/>
    </row>
    <row r="465" spans="6:6">
      <c r="F465" s="721"/>
    </row>
    <row r="466" spans="6:6">
      <c r="F466" s="721"/>
    </row>
    <row r="467" spans="6:6">
      <c r="F467" s="721"/>
    </row>
    <row r="468" spans="6:6">
      <c r="F468" s="721"/>
    </row>
    <row r="469" spans="6:6">
      <c r="F469" s="721"/>
    </row>
    <row r="470" spans="6:6">
      <c r="F470" s="721"/>
    </row>
    <row r="471" spans="6:6">
      <c r="F471" s="721"/>
    </row>
    <row r="472" spans="6:6">
      <c r="F472" s="721"/>
    </row>
    <row r="473" spans="6:6">
      <c r="F473" s="721"/>
    </row>
    <row r="474" spans="6:6">
      <c r="F474" s="721"/>
    </row>
    <row r="475" spans="6:6">
      <c r="F475" s="721"/>
    </row>
    <row r="476" spans="6:6">
      <c r="F476" s="721"/>
    </row>
    <row r="477" spans="6:6">
      <c r="F477" s="721"/>
    </row>
    <row r="478" spans="6:6">
      <c r="F478" s="721"/>
    </row>
    <row r="479" spans="6:6">
      <c r="F479" s="721"/>
    </row>
    <row r="480" spans="6:6">
      <c r="F480" s="721"/>
    </row>
    <row r="481" spans="1:6">
      <c r="F481" s="721"/>
    </row>
    <row r="482" spans="1:6">
      <c r="F482" s="721"/>
    </row>
    <row r="483" spans="1:6">
      <c r="F483" s="721"/>
    </row>
    <row r="484" spans="1:6">
      <c r="F484" s="721"/>
    </row>
    <row r="485" spans="1:6">
      <c r="F485" s="721"/>
    </row>
    <row r="486" spans="1:6">
      <c r="F486" s="733"/>
    </row>
    <row r="487" spans="1:6">
      <c r="A487" s="728"/>
      <c r="B487" s="728"/>
      <c r="C487" s="728"/>
      <c r="D487" s="728"/>
      <c r="E487" s="728"/>
      <c r="F487" s="734"/>
    </row>
  </sheetData>
  <mergeCells count="11">
    <mergeCell ref="A28:H29"/>
    <mergeCell ref="A33:G33"/>
    <mergeCell ref="A34:H34"/>
    <mergeCell ref="A10:G10"/>
    <mergeCell ref="A32:H32"/>
    <mergeCell ref="A13:H13"/>
    <mergeCell ref="A6:H6"/>
    <mergeCell ref="A8:H8"/>
    <mergeCell ref="A9:H9"/>
    <mergeCell ref="A11:H11"/>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I487"/>
  <sheetViews>
    <sheetView view="pageBreakPreview" topLeftCell="A4" zoomScale="115" zoomScaleNormal="100" zoomScaleSheetLayoutView="115" workbookViewId="0">
      <selection activeCell="I25" sqref="I25"/>
    </sheetView>
  </sheetViews>
  <sheetFormatPr defaultColWidth="11.42578125" defaultRowHeight="15.75"/>
  <cols>
    <col min="1" max="1" width="13" style="426" customWidth="1"/>
    <col min="2" max="2" width="34.5703125" style="411" customWidth="1"/>
    <col min="3" max="3" width="8.85546875" style="419" customWidth="1"/>
    <col min="4" max="4" width="20.85546875" style="411" customWidth="1"/>
    <col min="5" max="5" width="18" style="425" customWidth="1"/>
    <col min="6" max="6" width="13" style="411" customWidth="1"/>
    <col min="7" max="7" width="7" style="411" customWidth="1"/>
    <col min="8" max="8" width="10" style="411" customWidth="1"/>
    <col min="9" max="16384" width="11.42578125" style="411"/>
  </cols>
  <sheetData>
    <row r="1" spans="1:5">
      <c r="A1" s="427"/>
      <c r="B1" s="428"/>
      <c r="C1" s="429"/>
      <c r="D1" s="428"/>
      <c r="E1" s="437"/>
    </row>
    <row r="2" spans="1:5" ht="42.75" customHeight="1">
      <c r="A2" s="893" t="s">
        <v>1</v>
      </c>
      <c r="B2" s="893"/>
      <c r="C2" s="893"/>
      <c r="D2" s="893"/>
      <c r="E2" s="893"/>
    </row>
    <row r="3" spans="1:5" ht="18.75">
      <c r="A3" s="431"/>
      <c r="B3" s="431"/>
      <c r="C3" s="431"/>
      <c r="D3" s="431"/>
      <c r="E3" s="435"/>
    </row>
    <row r="4" spans="1:5" ht="18.75" customHeight="1">
      <c r="A4" s="893" t="s">
        <v>5</v>
      </c>
      <c r="B4" s="893"/>
      <c r="C4" s="893"/>
      <c r="D4" s="893"/>
      <c r="E4" s="893"/>
    </row>
    <row r="5" spans="1:5" ht="18.75">
      <c r="A5" s="431"/>
      <c r="B5" s="431"/>
      <c r="C5" s="431"/>
      <c r="D5" s="431"/>
      <c r="E5" s="435"/>
    </row>
    <row r="6" spans="1:5" ht="18.75">
      <c r="A6" s="430"/>
      <c r="B6" s="430"/>
      <c r="C6" s="430"/>
      <c r="D6" s="430"/>
      <c r="E6" s="436"/>
    </row>
    <row r="7" spans="1:5" ht="18.75">
      <c r="A7" s="432" t="s">
        <v>6</v>
      </c>
      <c r="B7" s="891" t="s">
        <v>7</v>
      </c>
      <c r="C7" s="892"/>
      <c r="D7" s="433" t="s">
        <v>8</v>
      </c>
      <c r="E7" s="433" t="s">
        <v>9</v>
      </c>
    </row>
    <row r="8" spans="1:5">
      <c r="A8" s="423"/>
      <c r="B8" s="412"/>
      <c r="C8" s="413"/>
      <c r="D8" s="420"/>
      <c r="E8" s="438"/>
    </row>
    <row r="9" spans="1:5">
      <c r="A9" s="424">
        <v>1</v>
      </c>
      <c r="B9" s="896" t="str">
        <f>'GL FL'!B3</f>
        <v>BILL NO: 01 - PRELIMINARIES</v>
      </c>
      <c r="C9" s="897"/>
      <c r="D9" s="421">
        <f>'GL FL'!G26</f>
        <v>0</v>
      </c>
      <c r="E9" s="439" t="s">
        <v>10</v>
      </c>
    </row>
    <row r="10" spans="1:5">
      <c r="A10" s="423"/>
      <c r="B10" s="706"/>
      <c r="C10" s="707"/>
      <c r="D10" s="422"/>
      <c r="E10" s="440"/>
    </row>
    <row r="11" spans="1:5">
      <c r="A11" s="424">
        <v>2</v>
      </c>
      <c r="B11" s="896" t="s">
        <v>11</v>
      </c>
      <c r="C11" s="897"/>
      <c r="D11" s="421">
        <f>'GL FL'!G430</f>
        <v>0</v>
      </c>
      <c r="E11" s="439" t="s">
        <v>10</v>
      </c>
    </row>
    <row r="12" spans="1:5">
      <c r="A12" s="424"/>
      <c r="B12" s="706"/>
      <c r="C12" s="707"/>
      <c r="D12" s="422"/>
      <c r="E12" s="440"/>
    </row>
    <row r="13" spans="1:5">
      <c r="A13" s="424">
        <v>3</v>
      </c>
      <c r="B13" s="894" t="s">
        <v>12</v>
      </c>
      <c r="C13" s="895"/>
      <c r="D13" s="421">
        <f>'GL FL'!G452</f>
        <v>0</v>
      </c>
      <c r="E13" s="439" t="s">
        <v>10</v>
      </c>
    </row>
    <row r="14" spans="1:5">
      <c r="A14" s="424"/>
      <c r="B14" s="706"/>
      <c r="C14" s="707"/>
      <c r="D14" s="421"/>
      <c r="E14" s="439"/>
    </row>
    <row r="15" spans="1:5">
      <c r="A15" s="424">
        <v>4</v>
      </c>
      <c r="B15" s="894" t="s">
        <v>13</v>
      </c>
      <c r="C15" s="895"/>
      <c r="D15" s="421">
        <f>'GL FL'!G471</f>
        <v>0</v>
      </c>
      <c r="E15" s="439" t="s">
        <v>10</v>
      </c>
    </row>
    <row r="16" spans="1:5">
      <c r="A16" s="424"/>
      <c r="B16" s="708"/>
      <c r="C16" s="709"/>
      <c r="D16" s="421"/>
      <c r="E16" s="439"/>
    </row>
    <row r="17" spans="1:9">
      <c r="A17" s="424">
        <v>5</v>
      </c>
      <c r="B17" s="894" t="s">
        <v>14</v>
      </c>
      <c r="C17" s="895"/>
      <c r="D17" s="421">
        <f>'GL FL'!G496</f>
        <v>0</v>
      </c>
      <c r="E17" s="439" t="s">
        <v>10</v>
      </c>
    </row>
    <row r="18" spans="1:9">
      <c r="A18" s="424"/>
      <c r="B18" s="414"/>
      <c r="C18" s="413"/>
      <c r="D18" s="421"/>
      <c r="E18" s="439"/>
    </row>
    <row r="19" spans="1:9" ht="28.5" customHeight="1">
      <c r="A19" s="424">
        <v>6</v>
      </c>
      <c r="B19" s="898" t="s">
        <v>15</v>
      </c>
      <c r="C19" s="899"/>
      <c r="D19" s="421">
        <f>'GL FL'!G518</f>
        <v>0</v>
      </c>
      <c r="E19" s="439" t="s">
        <v>10</v>
      </c>
    </row>
    <row r="20" spans="1:9">
      <c r="A20" s="888" t="s">
        <v>16</v>
      </c>
      <c r="B20" s="889"/>
      <c r="C20" s="890"/>
      <c r="D20" s="434">
        <f>SUM(D9:D19)</f>
        <v>0</v>
      </c>
      <c r="E20" s="441" t="s">
        <v>10</v>
      </c>
      <c r="I20" s="634"/>
    </row>
    <row r="21" spans="1:9">
      <c r="A21" s="888" t="s">
        <v>17</v>
      </c>
      <c r="B21" s="889"/>
      <c r="C21" s="890"/>
      <c r="D21" s="434">
        <f>D20*8/100</f>
        <v>0</v>
      </c>
      <c r="E21" s="441" t="s">
        <v>10</v>
      </c>
    </row>
    <row r="22" spans="1:9">
      <c r="A22" s="888" t="s">
        <v>18</v>
      </c>
      <c r="B22" s="889"/>
      <c r="C22" s="890"/>
      <c r="D22" s="434">
        <f>D20+D21</f>
        <v>0</v>
      </c>
      <c r="E22" s="441" t="s">
        <v>10</v>
      </c>
      <c r="F22" s="618"/>
    </row>
    <row r="23" spans="1:9">
      <c r="A23" s="888" t="s">
        <v>19</v>
      </c>
      <c r="B23" s="889"/>
      <c r="C23" s="890"/>
      <c r="D23" s="434"/>
      <c r="E23" s="441" t="s">
        <v>20</v>
      </c>
    </row>
    <row r="24" spans="1:9">
      <c r="A24" s="888" t="s">
        <v>21</v>
      </c>
      <c r="B24" s="889"/>
      <c r="C24" s="890"/>
      <c r="D24" s="434"/>
      <c r="E24" s="441" t="s">
        <v>20</v>
      </c>
    </row>
    <row r="25" spans="1:9">
      <c r="A25" s="425"/>
      <c r="B25" s="415"/>
      <c r="C25" s="416"/>
      <c r="D25" s="415"/>
      <c r="F25" s="415"/>
      <c r="G25" s="415"/>
    </row>
    <row r="26" spans="1:9">
      <c r="A26" s="425"/>
      <c r="B26" s="415"/>
      <c r="C26" s="416"/>
      <c r="D26" s="415"/>
      <c r="F26" s="415"/>
      <c r="G26" s="415"/>
    </row>
    <row r="27" spans="1:9">
      <c r="A27" s="425"/>
      <c r="B27" s="415"/>
      <c r="C27" s="416"/>
      <c r="D27" s="417"/>
      <c r="E27" s="442"/>
      <c r="F27" s="415"/>
      <c r="G27" s="415"/>
    </row>
    <row r="28" spans="1:9">
      <c r="A28" s="425"/>
      <c r="B28" s="415"/>
      <c r="C28" s="416"/>
      <c r="D28" s="415"/>
      <c r="F28" s="415"/>
      <c r="G28" s="415"/>
    </row>
    <row r="29" spans="1:9">
      <c r="A29" s="425"/>
      <c r="B29" s="415"/>
      <c r="C29" s="416"/>
      <c r="D29" s="418"/>
      <c r="E29" s="443"/>
      <c r="F29" s="415"/>
      <c r="G29" s="415"/>
    </row>
    <row r="30" spans="1:9">
      <c r="A30" s="425"/>
      <c r="B30" s="415"/>
      <c r="C30" s="416"/>
      <c r="D30" s="415"/>
      <c r="F30" s="415"/>
      <c r="G30" s="415"/>
    </row>
    <row r="31" spans="1:9">
      <c r="A31" s="425"/>
      <c r="B31" s="415"/>
      <c r="C31" s="416"/>
      <c r="D31" s="415"/>
      <c r="F31" s="415"/>
      <c r="G31" s="415"/>
    </row>
    <row r="32" spans="1:9">
      <c r="A32" s="425"/>
      <c r="B32" s="415"/>
      <c r="C32" s="416"/>
      <c r="D32" s="415"/>
      <c r="F32" s="415"/>
      <c r="G32" s="415"/>
    </row>
    <row r="33" spans="1:7">
      <c r="A33" s="425"/>
      <c r="B33" s="415"/>
      <c r="C33" s="416"/>
      <c r="D33" s="415"/>
      <c r="F33" s="415"/>
      <c r="G33" s="415"/>
    </row>
    <row r="34" spans="1:7">
      <c r="A34" s="425"/>
      <c r="B34" s="415"/>
      <c r="C34" s="416"/>
      <c r="D34" s="415"/>
      <c r="F34" s="415"/>
      <c r="G34" s="415"/>
    </row>
    <row r="342" spans="1:6">
      <c r="A342" s="722"/>
      <c r="B342" s="723"/>
      <c r="C342" s="724"/>
      <c r="D342" s="723"/>
      <c r="E342" s="725"/>
      <c r="F342" s="726"/>
    </row>
    <row r="343" spans="1:6">
      <c r="F343" s="720"/>
    </row>
    <row r="344" spans="1:6">
      <c r="F344" s="720"/>
    </row>
    <row r="345" spans="1:6">
      <c r="F345" s="720"/>
    </row>
    <row r="346" spans="1:6">
      <c r="F346" s="720"/>
    </row>
    <row r="347" spans="1:6">
      <c r="F347" s="720"/>
    </row>
    <row r="348" spans="1:6">
      <c r="F348" s="720"/>
    </row>
    <row r="349" spans="1:6">
      <c r="F349" s="720"/>
    </row>
    <row r="350" spans="1:6">
      <c r="F350" s="720"/>
    </row>
    <row r="351" spans="1:6">
      <c r="F351" s="720"/>
    </row>
    <row r="352" spans="1:6">
      <c r="F352" s="720"/>
    </row>
    <row r="353" spans="6:6">
      <c r="F353" s="720"/>
    </row>
    <row r="354" spans="6:6">
      <c r="F354" s="720"/>
    </row>
    <row r="355" spans="6:6">
      <c r="F355" s="720"/>
    </row>
    <row r="356" spans="6:6">
      <c r="F356" s="720"/>
    </row>
    <row r="357" spans="6:6">
      <c r="F357" s="720"/>
    </row>
    <row r="358" spans="6:6">
      <c r="F358" s="720"/>
    </row>
    <row r="359" spans="6:6">
      <c r="F359" s="720"/>
    </row>
    <row r="360" spans="6:6">
      <c r="F360" s="720"/>
    </row>
    <row r="361" spans="6:6">
      <c r="F361" s="720"/>
    </row>
    <row r="362" spans="6:6">
      <c r="F362" s="720"/>
    </row>
    <row r="363" spans="6:6">
      <c r="F363" s="720"/>
    </row>
    <row r="364" spans="6:6">
      <c r="F364" s="720"/>
    </row>
    <row r="365" spans="6:6">
      <c r="F365" s="720"/>
    </row>
    <row r="366" spans="6:6">
      <c r="F366" s="720"/>
    </row>
    <row r="367" spans="6:6">
      <c r="F367" s="720"/>
    </row>
    <row r="368" spans="6:6">
      <c r="F368" s="720"/>
    </row>
    <row r="369" spans="6:6">
      <c r="F369" s="720"/>
    </row>
    <row r="370" spans="6:6">
      <c r="F370" s="720"/>
    </row>
    <row r="371" spans="6:6">
      <c r="F371" s="720"/>
    </row>
    <row r="372" spans="6:6">
      <c r="F372" s="720"/>
    </row>
    <row r="373" spans="6:6">
      <c r="F373" s="720"/>
    </row>
    <row r="374" spans="6:6">
      <c r="F374" s="720"/>
    </row>
    <row r="375" spans="6:6">
      <c r="F375" s="720"/>
    </row>
    <row r="376" spans="6:6">
      <c r="F376" s="720"/>
    </row>
    <row r="377" spans="6:6">
      <c r="F377" s="720"/>
    </row>
    <row r="378" spans="6:6">
      <c r="F378" s="720"/>
    </row>
    <row r="379" spans="6:6">
      <c r="F379" s="720"/>
    </row>
    <row r="380" spans="6:6">
      <c r="F380" s="720"/>
    </row>
    <row r="381" spans="6:6">
      <c r="F381" s="720"/>
    </row>
    <row r="382" spans="6:6">
      <c r="F382" s="720"/>
    </row>
    <row r="383" spans="6:6">
      <c r="F383" s="720"/>
    </row>
    <row r="384" spans="6:6">
      <c r="F384" s="720"/>
    </row>
    <row r="385" spans="1:6">
      <c r="F385" s="720"/>
    </row>
    <row r="386" spans="1:6">
      <c r="F386" s="720"/>
    </row>
    <row r="387" spans="1:6">
      <c r="F387" s="720"/>
    </row>
    <row r="388" spans="1:6">
      <c r="F388" s="720"/>
    </row>
    <row r="389" spans="1:6">
      <c r="F389" s="720"/>
    </row>
    <row r="390" spans="1:6">
      <c r="F390" s="720"/>
    </row>
    <row r="391" spans="1:6">
      <c r="F391" s="720"/>
    </row>
    <row r="392" spans="1:6">
      <c r="F392" s="720"/>
    </row>
    <row r="393" spans="1:6">
      <c r="F393" s="720"/>
    </row>
    <row r="394" spans="1:6">
      <c r="F394" s="720"/>
    </row>
    <row r="395" spans="1:6">
      <c r="F395" s="720"/>
    </row>
    <row r="396" spans="1:6">
      <c r="F396" s="720"/>
    </row>
    <row r="397" spans="1:6">
      <c r="F397" s="720"/>
    </row>
    <row r="398" spans="1:6">
      <c r="F398" s="720"/>
    </row>
    <row r="399" spans="1:6">
      <c r="A399" s="730"/>
      <c r="B399" s="723"/>
      <c r="C399" s="724"/>
      <c r="D399" s="723"/>
      <c r="E399" s="725"/>
      <c r="F399" s="726"/>
    </row>
    <row r="400" spans="1:6">
      <c r="F400" s="720"/>
    </row>
    <row r="401" spans="6:6">
      <c r="F401" s="720"/>
    </row>
    <row r="402" spans="6:6">
      <c r="F402" s="720"/>
    </row>
    <row r="403" spans="6:6">
      <c r="F403" s="720"/>
    </row>
    <row r="404" spans="6:6">
      <c r="F404" s="720"/>
    </row>
    <row r="405" spans="6:6">
      <c r="F405" s="720"/>
    </row>
    <row r="406" spans="6:6">
      <c r="F406" s="720"/>
    </row>
    <row r="407" spans="6:6">
      <c r="F407" s="720"/>
    </row>
    <row r="408" spans="6:6">
      <c r="F408" s="720"/>
    </row>
    <row r="409" spans="6:6">
      <c r="F409" s="720"/>
    </row>
    <row r="410" spans="6:6">
      <c r="F410" s="720"/>
    </row>
    <row r="411" spans="6:6">
      <c r="F411" s="720"/>
    </row>
    <row r="412" spans="6:6">
      <c r="F412" s="720"/>
    </row>
    <row r="413" spans="6:6">
      <c r="F413" s="720"/>
    </row>
    <row r="414" spans="6:6">
      <c r="F414" s="720"/>
    </row>
    <row r="415" spans="6:6">
      <c r="F415" s="720"/>
    </row>
    <row r="416" spans="6:6">
      <c r="F416" s="720"/>
    </row>
    <row r="417" spans="6:6">
      <c r="F417" s="720"/>
    </row>
    <row r="418" spans="6:6">
      <c r="F418" s="720"/>
    </row>
    <row r="419" spans="6:6">
      <c r="F419" s="720"/>
    </row>
    <row r="420" spans="6:6">
      <c r="F420" s="720"/>
    </row>
    <row r="421" spans="6:6">
      <c r="F421" s="720"/>
    </row>
    <row r="422" spans="6:6">
      <c r="F422" s="720"/>
    </row>
    <row r="423" spans="6:6">
      <c r="F423" s="720"/>
    </row>
    <row r="424" spans="6:6">
      <c r="F424" s="720"/>
    </row>
    <row r="425" spans="6:6">
      <c r="F425" s="720"/>
    </row>
    <row r="426" spans="6:6">
      <c r="F426" s="720"/>
    </row>
    <row r="427" spans="6:6">
      <c r="F427" s="720"/>
    </row>
    <row r="428" spans="6:6">
      <c r="F428" s="720"/>
    </row>
    <row r="429" spans="6:6">
      <c r="F429" s="720"/>
    </row>
    <row r="430" spans="6:6">
      <c r="F430" s="720"/>
    </row>
    <row r="431" spans="6:6">
      <c r="F431" s="720"/>
    </row>
    <row r="432" spans="6:6">
      <c r="F432" s="720"/>
    </row>
    <row r="433" spans="6:6">
      <c r="F433" s="720"/>
    </row>
    <row r="434" spans="6:6">
      <c r="F434" s="720"/>
    </row>
    <row r="435" spans="6:6">
      <c r="F435" s="720"/>
    </row>
    <row r="436" spans="6:6">
      <c r="F436" s="720"/>
    </row>
    <row r="437" spans="6:6">
      <c r="F437" s="720"/>
    </row>
    <row r="438" spans="6:6">
      <c r="F438" s="720"/>
    </row>
    <row r="439" spans="6:6">
      <c r="F439" s="720"/>
    </row>
    <row r="440" spans="6:6">
      <c r="F440" s="720"/>
    </row>
    <row r="441" spans="6:6">
      <c r="F441" s="720"/>
    </row>
    <row r="442" spans="6:6">
      <c r="F442" s="720"/>
    </row>
    <row r="443" spans="6:6">
      <c r="F443" s="720"/>
    </row>
    <row r="444" spans="6:6">
      <c r="F444" s="720"/>
    </row>
    <row r="445" spans="6:6">
      <c r="F445" s="720"/>
    </row>
    <row r="446" spans="6:6">
      <c r="F446" s="720"/>
    </row>
    <row r="447" spans="6:6">
      <c r="F447" s="720"/>
    </row>
    <row r="448" spans="6:6">
      <c r="F448" s="720"/>
    </row>
    <row r="449" spans="1:6">
      <c r="F449" s="720"/>
    </row>
    <row r="450" spans="1:6">
      <c r="A450" s="730"/>
      <c r="B450" s="723"/>
      <c r="C450" s="724"/>
      <c r="D450" s="723"/>
      <c r="E450" s="725"/>
      <c r="F450" s="726"/>
    </row>
    <row r="451" spans="1:6">
      <c r="F451" s="720"/>
    </row>
    <row r="452" spans="1:6">
      <c r="F452" s="720"/>
    </row>
    <row r="453" spans="1:6">
      <c r="F453" s="720"/>
    </row>
    <row r="454" spans="1:6">
      <c r="F454" s="720"/>
    </row>
    <row r="455" spans="1:6">
      <c r="B455" s="735" t="s">
        <v>4</v>
      </c>
      <c r="F455" s="720"/>
    </row>
    <row r="456" spans="1:6">
      <c r="F456" s="720"/>
    </row>
    <row r="457" spans="1:6">
      <c r="F457" s="720"/>
    </row>
    <row r="458" spans="1:6">
      <c r="F458" s="720"/>
    </row>
    <row r="459" spans="1:6">
      <c r="F459" s="720"/>
    </row>
    <row r="460" spans="1:6">
      <c r="F460" s="720"/>
    </row>
    <row r="461" spans="1:6">
      <c r="F461" s="720"/>
    </row>
    <row r="462" spans="1:6">
      <c r="F462" s="720"/>
    </row>
    <row r="463" spans="1:6">
      <c r="F463" s="720"/>
    </row>
    <row r="464" spans="1:6">
      <c r="F464" s="720"/>
    </row>
    <row r="465" spans="6:6">
      <c r="F465" s="720"/>
    </row>
    <row r="466" spans="6:6">
      <c r="F466" s="720"/>
    </row>
    <row r="467" spans="6:6">
      <c r="F467" s="720"/>
    </row>
    <row r="468" spans="6:6">
      <c r="F468" s="720"/>
    </row>
    <row r="469" spans="6:6">
      <c r="F469" s="720"/>
    </row>
    <row r="470" spans="6:6">
      <c r="F470" s="720"/>
    </row>
    <row r="471" spans="6:6">
      <c r="F471" s="720"/>
    </row>
    <row r="472" spans="6:6">
      <c r="F472" s="720"/>
    </row>
    <row r="473" spans="6:6">
      <c r="F473" s="720"/>
    </row>
    <row r="474" spans="6:6">
      <c r="F474" s="720"/>
    </row>
    <row r="475" spans="6:6">
      <c r="F475" s="720"/>
    </row>
    <row r="476" spans="6:6">
      <c r="F476" s="720"/>
    </row>
    <row r="477" spans="6:6">
      <c r="F477" s="720"/>
    </row>
    <row r="478" spans="6:6">
      <c r="F478" s="720"/>
    </row>
    <row r="479" spans="6:6">
      <c r="F479" s="720"/>
    </row>
    <row r="480" spans="6:6">
      <c r="F480" s="720"/>
    </row>
    <row r="481" spans="1:6">
      <c r="F481" s="720"/>
    </row>
    <row r="482" spans="1:6">
      <c r="F482" s="720"/>
    </row>
    <row r="483" spans="1:6">
      <c r="F483" s="720"/>
    </row>
    <row r="484" spans="1:6">
      <c r="F484" s="720"/>
    </row>
    <row r="485" spans="1:6">
      <c r="F485" s="720"/>
    </row>
    <row r="486" spans="1:6">
      <c r="F486" s="731"/>
    </row>
    <row r="487" spans="1:6">
      <c r="A487" s="730"/>
      <c r="B487" s="723"/>
      <c r="C487" s="724"/>
      <c r="D487" s="723"/>
      <c r="E487" s="725"/>
      <c r="F487" s="732"/>
    </row>
  </sheetData>
  <mergeCells count="14">
    <mergeCell ref="A22:C22"/>
    <mergeCell ref="A23:C23"/>
    <mergeCell ref="A24:C24"/>
    <mergeCell ref="B7:C7"/>
    <mergeCell ref="A2:E2"/>
    <mergeCell ref="A4:E4"/>
    <mergeCell ref="A20:C20"/>
    <mergeCell ref="A21:C21"/>
    <mergeCell ref="B13:C13"/>
    <mergeCell ref="B11:C11"/>
    <mergeCell ref="B9:C9"/>
    <mergeCell ref="B17:C17"/>
    <mergeCell ref="B15:C15"/>
    <mergeCell ref="B19:C19"/>
  </mergeCells>
  <pageMargins left="0.7" right="0.7" top="0.75" bottom="0.75" header="0.3" footer="0.3"/>
  <pageSetup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609A1-05C8-4BDA-95DA-E6DFFC84FB54}">
  <sheetPr>
    <tabColor rgb="FF00B050"/>
  </sheetPr>
  <dimension ref="A1:S528"/>
  <sheetViews>
    <sheetView showGridLines="0" tabSelected="1" view="pageBreakPreview" topLeftCell="A488" zoomScaleNormal="115" zoomScaleSheetLayoutView="100" zoomScalePageLayoutView="85" workbookViewId="0">
      <selection activeCell="K499" sqref="K499"/>
    </sheetView>
  </sheetViews>
  <sheetFormatPr defaultColWidth="9.140625" defaultRowHeight="12.75"/>
  <cols>
    <col min="1" max="1" width="7.7109375" style="5" customWidth="1"/>
    <col min="2" max="2" width="72.28515625" style="6" customWidth="1"/>
    <col min="3" max="3" width="8.5703125" style="4" customWidth="1"/>
    <col min="4" max="4" width="10.5703125" style="202" customWidth="1"/>
    <col min="5" max="6" width="12.85546875" style="7" customWidth="1"/>
    <col min="7" max="7" width="14.42578125" style="7" customWidth="1"/>
    <col min="8" max="10" width="9.140625" style="1"/>
    <col min="11" max="11" width="11.140625" style="1" customWidth="1"/>
    <col min="12" max="12" width="9.140625" style="1"/>
    <col min="13" max="13" width="11.28515625" style="1" customWidth="1"/>
    <col min="14" max="16384" width="9.140625" style="1"/>
  </cols>
  <sheetData>
    <row r="1" spans="1:19" ht="26.25">
      <c r="A1" s="408" t="s">
        <v>22</v>
      </c>
      <c r="B1" s="408" t="s">
        <v>7</v>
      </c>
      <c r="C1" s="410" t="s">
        <v>23</v>
      </c>
      <c r="D1" s="409" t="s">
        <v>24</v>
      </c>
      <c r="E1" s="858" t="s">
        <v>25</v>
      </c>
      <c r="F1" s="858" t="s">
        <v>26</v>
      </c>
      <c r="G1" s="858" t="s">
        <v>27</v>
      </c>
      <c r="H1" s="2"/>
      <c r="I1" s="2"/>
      <c r="J1" s="2"/>
      <c r="K1" s="2"/>
      <c r="L1" s="2"/>
      <c r="M1" s="2"/>
      <c r="N1" s="2"/>
      <c r="O1" s="2"/>
      <c r="P1" s="2"/>
      <c r="Q1" s="2"/>
      <c r="R1" s="2"/>
      <c r="S1" s="2"/>
    </row>
    <row r="2" spans="1:19">
      <c r="A2" s="158"/>
      <c r="B2" s="159"/>
      <c r="C2" s="160"/>
      <c r="D2" s="196"/>
      <c r="E2" s="161"/>
      <c r="F2" s="846"/>
      <c r="G2" s="162"/>
      <c r="H2" s="2"/>
      <c r="I2" s="2"/>
      <c r="J2" s="2"/>
      <c r="K2" s="2"/>
      <c r="L2" s="2"/>
      <c r="M2" s="2"/>
      <c r="N2" s="2"/>
      <c r="O2" s="2"/>
      <c r="P2" s="2"/>
      <c r="Q2" s="2"/>
      <c r="R2" s="2"/>
      <c r="S2" s="2"/>
    </row>
    <row r="3" spans="1:19">
      <c r="A3" s="152"/>
      <c r="B3" s="143" t="s">
        <v>28</v>
      </c>
      <c r="C3" s="148"/>
      <c r="D3" s="736"/>
      <c r="E3" s="737"/>
      <c r="F3" s="847"/>
      <c r="G3" s="738"/>
      <c r="H3" s="2"/>
      <c r="I3" s="2"/>
      <c r="J3" s="2"/>
      <c r="K3" s="2"/>
      <c r="L3" s="2"/>
      <c r="M3" s="2"/>
      <c r="N3" s="2"/>
      <c r="O3" s="2"/>
      <c r="P3" s="2"/>
      <c r="Q3" s="2"/>
      <c r="R3" s="2"/>
      <c r="S3" s="2"/>
    </row>
    <row r="4" spans="1:19">
      <c r="A4" s="145">
        <v>1.1000000000000001</v>
      </c>
      <c r="B4" s="143" t="s">
        <v>29</v>
      </c>
      <c r="C4" s="148"/>
      <c r="D4" s="736"/>
      <c r="E4" s="737"/>
      <c r="F4" s="847"/>
      <c r="G4" s="738"/>
      <c r="H4" s="2"/>
      <c r="I4" s="2"/>
      <c r="J4" s="2"/>
      <c r="K4" s="2"/>
      <c r="L4" s="2"/>
      <c r="M4" s="2"/>
      <c r="N4" s="2"/>
      <c r="O4" s="2"/>
      <c r="P4" s="2"/>
      <c r="Q4" s="2"/>
      <c r="R4" s="2"/>
      <c r="S4" s="2"/>
    </row>
    <row r="5" spans="1:19">
      <c r="A5" s="152"/>
      <c r="B5" s="163" t="s">
        <v>30</v>
      </c>
      <c r="C5" s="148"/>
      <c r="D5" s="736"/>
      <c r="E5" s="737"/>
      <c r="F5" s="847"/>
      <c r="G5" s="738"/>
      <c r="H5" s="2"/>
      <c r="I5" s="2"/>
      <c r="J5" s="2"/>
      <c r="K5" s="2"/>
      <c r="L5" s="2"/>
      <c r="M5" s="2"/>
      <c r="N5" s="2"/>
      <c r="O5" s="2"/>
      <c r="P5" s="2"/>
      <c r="Q5" s="2"/>
      <c r="R5" s="2"/>
      <c r="S5" s="2"/>
    </row>
    <row r="6" spans="1:19">
      <c r="A6" s="152"/>
      <c r="B6" s="149" t="s">
        <v>31</v>
      </c>
      <c r="C6" s="148"/>
      <c r="D6" s="736"/>
      <c r="E6" s="737"/>
      <c r="F6" s="847"/>
      <c r="G6" s="738"/>
      <c r="H6" s="2"/>
      <c r="I6" s="2"/>
      <c r="J6" s="2"/>
      <c r="K6" s="2"/>
      <c r="L6" s="2"/>
      <c r="M6" s="2"/>
      <c r="N6" s="2"/>
      <c r="O6" s="2"/>
      <c r="P6" s="2"/>
      <c r="Q6" s="2"/>
      <c r="R6" s="2"/>
      <c r="S6" s="2"/>
    </row>
    <row r="7" spans="1:19">
      <c r="A7" s="152"/>
      <c r="B7" s="149" t="s">
        <v>32</v>
      </c>
      <c r="C7" s="148"/>
      <c r="D7" s="736"/>
      <c r="E7" s="737"/>
      <c r="F7" s="847"/>
      <c r="G7" s="738"/>
      <c r="H7" s="2"/>
      <c r="I7" s="2"/>
      <c r="J7" s="2"/>
      <c r="K7" s="2"/>
      <c r="L7" s="2"/>
      <c r="M7" s="2"/>
      <c r="N7" s="2"/>
      <c r="O7" s="2"/>
      <c r="P7" s="2"/>
      <c r="Q7" s="2"/>
      <c r="R7" s="2"/>
      <c r="S7" s="2"/>
    </row>
    <row r="8" spans="1:19">
      <c r="A8" s="152"/>
      <c r="B8" s="149" t="s">
        <v>33</v>
      </c>
      <c r="C8" s="148"/>
      <c r="D8" s="736"/>
      <c r="E8" s="737"/>
      <c r="F8" s="847"/>
      <c r="G8" s="738"/>
      <c r="H8" s="2"/>
      <c r="I8" s="2"/>
      <c r="J8" s="2"/>
      <c r="K8" s="2"/>
      <c r="L8" s="2"/>
      <c r="M8" s="2"/>
      <c r="N8" s="2"/>
      <c r="O8" s="2"/>
      <c r="P8" s="2"/>
      <c r="Q8" s="2"/>
      <c r="R8" s="2"/>
      <c r="S8" s="2"/>
    </row>
    <row r="9" spans="1:19">
      <c r="A9" s="152"/>
      <c r="B9" s="149" t="s">
        <v>34</v>
      </c>
      <c r="C9" s="148"/>
      <c r="D9" s="736"/>
      <c r="E9" s="737"/>
      <c r="F9" s="847"/>
      <c r="G9" s="738"/>
      <c r="H9" s="2"/>
      <c r="I9" s="2"/>
      <c r="J9" s="2"/>
      <c r="K9" s="2"/>
      <c r="L9" s="2"/>
      <c r="M9" s="2"/>
      <c r="N9" s="2"/>
      <c r="O9" s="2"/>
      <c r="P9" s="2"/>
      <c r="Q9" s="2"/>
      <c r="R9" s="2"/>
      <c r="S9" s="2"/>
    </row>
    <row r="10" spans="1:19">
      <c r="A10" s="152"/>
      <c r="B10" s="149" t="s">
        <v>35</v>
      </c>
      <c r="C10" s="148"/>
      <c r="D10" s="736"/>
      <c r="E10" s="737"/>
      <c r="F10" s="847"/>
      <c r="G10" s="738"/>
      <c r="H10" s="2"/>
      <c r="I10" s="2"/>
      <c r="J10" s="2"/>
      <c r="K10" s="2"/>
      <c r="L10" s="2"/>
      <c r="M10" s="2"/>
      <c r="N10" s="2"/>
      <c r="O10" s="2"/>
      <c r="P10" s="2"/>
      <c r="Q10" s="2"/>
      <c r="R10" s="2"/>
      <c r="S10" s="2"/>
    </row>
    <row r="11" spans="1:19">
      <c r="A11" s="152"/>
      <c r="B11" s="149" t="s">
        <v>36</v>
      </c>
      <c r="C11" s="148"/>
      <c r="D11" s="736"/>
      <c r="E11" s="737"/>
      <c r="F11" s="847"/>
      <c r="G11" s="738"/>
      <c r="H11" s="2"/>
      <c r="I11" s="2"/>
      <c r="J11" s="2"/>
      <c r="K11" s="2"/>
      <c r="L11" s="2"/>
      <c r="M11" s="2"/>
      <c r="N11" s="2"/>
      <c r="O11" s="2"/>
      <c r="P11" s="2"/>
      <c r="Q11" s="2"/>
      <c r="R11" s="2"/>
      <c r="S11" s="2"/>
    </row>
    <row r="12" spans="1:19">
      <c r="A12" s="152"/>
      <c r="B12" s="149" t="s">
        <v>37</v>
      </c>
      <c r="C12" s="148"/>
      <c r="D12" s="736"/>
      <c r="E12" s="737"/>
      <c r="F12" s="847"/>
      <c r="G12" s="738"/>
      <c r="H12" s="2"/>
      <c r="I12" s="2"/>
      <c r="J12" s="2"/>
      <c r="K12" s="2"/>
      <c r="L12" s="2"/>
      <c r="M12" s="2"/>
      <c r="N12" s="2"/>
      <c r="O12" s="2"/>
      <c r="P12" s="2"/>
      <c r="Q12" s="2"/>
      <c r="R12" s="2"/>
      <c r="S12" s="2"/>
    </row>
    <row r="13" spans="1:19">
      <c r="A13" s="152"/>
      <c r="B13" s="149" t="s">
        <v>38</v>
      </c>
      <c r="C13" s="148"/>
      <c r="D13" s="736"/>
      <c r="E13" s="737"/>
      <c r="F13" s="847"/>
      <c r="G13" s="738"/>
      <c r="H13" s="2"/>
      <c r="I13" s="2"/>
      <c r="J13" s="2"/>
      <c r="K13" s="2"/>
      <c r="L13" s="2"/>
      <c r="M13" s="2"/>
      <c r="N13" s="2"/>
      <c r="O13" s="2"/>
      <c r="P13" s="2"/>
      <c r="Q13" s="2"/>
      <c r="R13" s="2"/>
      <c r="S13" s="2"/>
    </row>
    <row r="14" spans="1:19">
      <c r="A14" s="152"/>
      <c r="B14" s="149" t="s">
        <v>39</v>
      </c>
      <c r="C14" s="148"/>
      <c r="D14" s="736"/>
      <c r="E14" s="737"/>
      <c r="F14" s="847"/>
      <c r="G14" s="738"/>
      <c r="H14" s="2"/>
      <c r="I14" s="2"/>
      <c r="J14" s="2"/>
      <c r="K14" s="2"/>
      <c r="L14" s="2"/>
      <c r="M14" s="2"/>
      <c r="N14" s="2"/>
      <c r="O14" s="2"/>
      <c r="P14" s="2"/>
      <c r="Q14" s="2"/>
      <c r="R14" s="2"/>
      <c r="S14" s="2"/>
    </row>
    <row r="15" spans="1:19">
      <c r="A15" s="152"/>
      <c r="B15" s="149" t="s">
        <v>40</v>
      </c>
      <c r="C15" s="148"/>
      <c r="D15" s="736"/>
      <c r="E15" s="737"/>
      <c r="F15" s="847"/>
      <c r="G15" s="738"/>
      <c r="H15" s="2"/>
      <c r="I15" s="2"/>
      <c r="J15" s="2"/>
      <c r="K15" s="2"/>
      <c r="L15" s="2"/>
      <c r="M15" s="2"/>
      <c r="N15" s="2"/>
      <c r="O15" s="2"/>
      <c r="P15" s="2"/>
      <c r="Q15" s="2"/>
      <c r="R15" s="2"/>
      <c r="S15" s="2"/>
    </row>
    <row r="16" spans="1:19">
      <c r="A16" s="152"/>
      <c r="B16" s="149" t="s">
        <v>41</v>
      </c>
      <c r="C16" s="148"/>
      <c r="D16" s="736"/>
      <c r="E16" s="737"/>
      <c r="F16" s="847"/>
      <c r="G16" s="738"/>
      <c r="H16" s="2"/>
      <c r="I16" s="2"/>
      <c r="J16" s="2"/>
      <c r="K16" s="2"/>
      <c r="L16" s="2"/>
      <c r="M16" s="2"/>
      <c r="N16" s="2"/>
      <c r="O16" s="2"/>
      <c r="P16" s="2"/>
      <c r="Q16" s="2"/>
      <c r="R16" s="2"/>
      <c r="S16" s="2"/>
    </row>
    <row r="17" spans="1:19">
      <c r="A17" s="152"/>
      <c r="B17" s="149"/>
      <c r="C17" s="148"/>
      <c r="D17" s="736"/>
      <c r="E17" s="737"/>
      <c r="F17" s="847"/>
      <c r="G17" s="738"/>
      <c r="H17" s="2"/>
      <c r="I17" s="2"/>
      <c r="J17" s="2"/>
      <c r="K17" s="2"/>
      <c r="L17" s="2"/>
      <c r="M17" s="2"/>
      <c r="N17" s="2"/>
      <c r="O17" s="2"/>
      <c r="P17" s="2"/>
      <c r="Q17" s="2"/>
      <c r="R17" s="2"/>
      <c r="S17" s="2"/>
    </row>
    <row r="18" spans="1:19">
      <c r="A18" s="164">
        <v>1.2</v>
      </c>
      <c r="B18" s="165" t="s">
        <v>42</v>
      </c>
      <c r="C18" s="166"/>
      <c r="D18" s="197"/>
      <c r="E18" s="737"/>
      <c r="F18" s="847"/>
      <c r="G18" s="738"/>
      <c r="H18" s="2"/>
      <c r="I18" s="2"/>
      <c r="J18" s="2"/>
      <c r="K18" s="2"/>
      <c r="L18" s="2"/>
      <c r="M18" s="2"/>
      <c r="N18" s="2"/>
      <c r="O18" s="2"/>
      <c r="P18" s="2"/>
      <c r="Q18" s="2"/>
      <c r="R18" s="2"/>
      <c r="S18" s="2"/>
    </row>
    <row r="19" spans="1:19" ht="27" customHeight="1">
      <c r="A19" s="407" t="s">
        <v>43</v>
      </c>
      <c r="B19" s="702" t="s">
        <v>44</v>
      </c>
      <c r="C19" s="589" t="s">
        <v>45</v>
      </c>
      <c r="D19" s="588">
        <v>1</v>
      </c>
      <c r="E19" s="740">
        <v>0</v>
      </c>
      <c r="F19" s="740">
        <v>0</v>
      </c>
      <c r="G19" s="739">
        <f>D19*E19+F19</f>
        <v>0</v>
      </c>
      <c r="H19" s="2"/>
      <c r="I19" s="2"/>
      <c r="J19" s="2"/>
      <c r="K19" s="2"/>
      <c r="L19" s="2"/>
      <c r="M19" s="2"/>
      <c r="N19" s="2"/>
      <c r="O19" s="2"/>
      <c r="P19" s="2"/>
      <c r="Q19" s="2"/>
      <c r="R19" s="2"/>
      <c r="S19" s="2"/>
    </row>
    <row r="20" spans="1:19" ht="15.75" customHeight="1">
      <c r="A20" s="407" t="s">
        <v>46</v>
      </c>
      <c r="B20" s="702" t="s">
        <v>47</v>
      </c>
      <c r="C20" s="589" t="s">
        <v>45</v>
      </c>
      <c r="D20" s="588">
        <v>1</v>
      </c>
      <c r="E20" s="740">
        <v>0</v>
      </c>
      <c r="F20" s="740">
        <v>0</v>
      </c>
      <c r="G20" s="739">
        <f>D20*E20+F20</f>
        <v>0</v>
      </c>
      <c r="H20" s="2"/>
      <c r="I20" s="2"/>
      <c r="J20" s="2"/>
      <c r="K20" s="2"/>
      <c r="L20" s="2"/>
      <c r="M20" s="2"/>
      <c r="N20" s="2"/>
      <c r="O20" s="2"/>
      <c r="P20" s="2"/>
      <c r="Q20" s="2"/>
      <c r="R20" s="2"/>
      <c r="S20" s="2"/>
    </row>
    <row r="21" spans="1:19">
      <c r="A21" s="152"/>
      <c r="B21" s="149"/>
      <c r="C21" s="148"/>
      <c r="D21" s="736"/>
      <c r="E21" s="737"/>
      <c r="F21" s="847"/>
      <c r="G21" s="738"/>
      <c r="H21" s="2"/>
      <c r="I21" s="2"/>
      <c r="J21" s="2"/>
      <c r="K21" s="2"/>
      <c r="L21" s="2"/>
      <c r="M21" s="2"/>
      <c r="N21" s="2"/>
      <c r="O21" s="2"/>
      <c r="P21" s="2"/>
      <c r="Q21" s="2"/>
      <c r="R21" s="2"/>
      <c r="S21" s="2"/>
    </row>
    <row r="22" spans="1:19">
      <c r="A22" s="164">
        <v>1.3</v>
      </c>
      <c r="B22" s="165" t="s">
        <v>48</v>
      </c>
      <c r="C22" s="166"/>
      <c r="D22" s="197"/>
      <c r="E22" s="737"/>
      <c r="F22" s="847"/>
      <c r="G22" s="738"/>
      <c r="H22" s="2"/>
      <c r="I22" s="2"/>
      <c r="J22" s="2"/>
      <c r="K22" s="2"/>
      <c r="L22" s="2"/>
      <c r="M22" s="2"/>
      <c r="N22" s="2"/>
      <c r="O22" s="2"/>
      <c r="P22" s="2"/>
      <c r="Q22" s="2"/>
      <c r="R22" s="2"/>
      <c r="S22" s="2"/>
    </row>
    <row r="23" spans="1:19" s="667" customFormat="1" ht="28.5" customHeight="1">
      <c r="A23" s="407" t="s">
        <v>49</v>
      </c>
      <c r="B23" s="191" t="s">
        <v>50</v>
      </c>
      <c r="C23" s="665" t="s">
        <v>45</v>
      </c>
      <c r="D23" s="666">
        <v>1</v>
      </c>
      <c r="E23" s="740">
        <v>0</v>
      </c>
      <c r="F23" s="740">
        <v>0</v>
      </c>
      <c r="G23" s="741">
        <f>D23*E23+F23</f>
        <v>0</v>
      </c>
      <c r="H23" s="859"/>
      <c r="I23" s="859"/>
      <c r="J23" s="859"/>
      <c r="K23" s="859"/>
      <c r="L23" s="859"/>
      <c r="M23" s="859"/>
      <c r="N23" s="859"/>
      <c r="O23" s="859"/>
      <c r="P23" s="859"/>
      <c r="Q23" s="859"/>
      <c r="R23" s="859"/>
      <c r="S23" s="859"/>
    </row>
    <row r="24" spans="1:19">
      <c r="A24" s="407"/>
      <c r="B24" s="167"/>
      <c r="C24" s="589"/>
      <c r="D24" s="588"/>
      <c r="E24" s="737"/>
      <c r="F24" s="847"/>
      <c r="G24" s="738"/>
      <c r="H24" s="2"/>
      <c r="I24" s="2"/>
      <c r="J24" s="2"/>
      <c r="K24" s="2"/>
      <c r="L24" s="2"/>
      <c r="M24" s="2"/>
      <c r="N24" s="2"/>
      <c r="O24" s="2"/>
      <c r="P24" s="2"/>
      <c r="Q24" s="2"/>
      <c r="R24" s="2"/>
      <c r="S24" s="2"/>
    </row>
    <row r="25" spans="1:19">
      <c r="A25" s="152"/>
      <c r="B25" s="149"/>
      <c r="C25" s="742"/>
      <c r="D25" s="736"/>
      <c r="E25" s="737"/>
      <c r="F25" s="847"/>
      <c r="G25" s="738"/>
      <c r="H25" s="2"/>
      <c r="I25" s="2"/>
      <c r="J25" s="2"/>
      <c r="K25" s="2"/>
      <c r="L25" s="2"/>
      <c r="M25" s="2"/>
      <c r="N25" s="2"/>
      <c r="O25" s="2"/>
      <c r="P25" s="2"/>
      <c r="Q25" s="2"/>
      <c r="R25" s="2"/>
      <c r="S25" s="2"/>
    </row>
    <row r="26" spans="1:19">
      <c r="A26" s="906" t="s">
        <v>51</v>
      </c>
      <c r="B26" s="907"/>
      <c r="C26" s="907"/>
      <c r="D26" s="907"/>
      <c r="E26" s="908"/>
      <c r="F26" s="203"/>
      <c r="G26" s="444">
        <f>SUM(G19:G23)</f>
        <v>0</v>
      </c>
      <c r="H26" s="2"/>
      <c r="I26" s="2"/>
      <c r="J26" s="2"/>
      <c r="K26" s="2"/>
      <c r="L26" s="2"/>
      <c r="M26" s="2"/>
      <c r="N26" s="2"/>
      <c r="O26" s="2"/>
      <c r="P26" s="2"/>
      <c r="Q26" s="2"/>
      <c r="R26" s="2"/>
      <c r="S26" s="2"/>
    </row>
    <row r="27" spans="1:19">
      <c r="A27" s="904" t="s">
        <v>52</v>
      </c>
      <c r="B27" s="905"/>
      <c r="C27" s="905"/>
      <c r="D27" s="905"/>
      <c r="E27" s="909"/>
      <c r="F27" s="834"/>
      <c r="G27" s="445"/>
      <c r="H27" s="2"/>
      <c r="I27" s="2"/>
      <c r="J27" s="2"/>
      <c r="K27" s="2"/>
      <c r="L27" s="2"/>
      <c r="M27" s="2"/>
      <c r="N27" s="2"/>
      <c r="O27" s="2"/>
      <c r="P27" s="2"/>
      <c r="Q27" s="2"/>
      <c r="R27" s="2"/>
      <c r="S27" s="2"/>
    </row>
    <row r="28" spans="1:19" hidden="1">
      <c r="A28" s="139"/>
      <c r="B28" s="140"/>
      <c r="C28" s="140"/>
      <c r="D28" s="140"/>
      <c r="E28" s="141"/>
      <c r="F28" s="848"/>
      <c r="G28" s="142"/>
      <c r="H28" s="2"/>
      <c r="I28" s="2"/>
      <c r="J28" s="2"/>
      <c r="K28" s="2"/>
      <c r="L28" s="2"/>
      <c r="M28" s="2"/>
      <c r="N28" s="2"/>
      <c r="O28" s="2"/>
      <c r="P28" s="2"/>
      <c r="Q28" s="2"/>
      <c r="R28" s="2"/>
      <c r="S28" s="2"/>
    </row>
    <row r="29" spans="1:19" hidden="1">
      <c r="A29" s="152"/>
      <c r="B29" s="143" t="s">
        <v>53</v>
      </c>
      <c r="C29" s="148"/>
      <c r="D29" s="736"/>
      <c r="E29" s="737"/>
      <c r="F29" s="847"/>
      <c r="G29" s="738"/>
      <c r="H29" s="2"/>
      <c r="I29" s="2"/>
      <c r="J29" s="2"/>
      <c r="K29" s="2"/>
      <c r="L29" s="2"/>
      <c r="M29" s="2"/>
      <c r="N29" s="2"/>
      <c r="O29" s="2"/>
      <c r="P29" s="2"/>
      <c r="Q29" s="2"/>
      <c r="R29" s="2"/>
      <c r="S29" s="2"/>
    </row>
    <row r="30" spans="1:19" hidden="1">
      <c r="A30" s="152"/>
      <c r="B30" s="143" t="s">
        <v>54</v>
      </c>
      <c r="C30" s="144"/>
      <c r="D30" s="736"/>
      <c r="E30" s="737"/>
      <c r="F30" s="847"/>
      <c r="G30" s="738"/>
      <c r="H30" s="2"/>
      <c r="I30" s="2"/>
      <c r="J30" s="2"/>
      <c r="K30" s="2"/>
      <c r="L30" s="2"/>
      <c r="M30" s="2"/>
      <c r="N30" s="2"/>
      <c r="O30" s="2"/>
      <c r="P30" s="2"/>
      <c r="Q30" s="2"/>
      <c r="R30" s="2"/>
      <c r="S30" s="2"/>
    </row>
    <row r="31" spans="1:19" hidden="1">
      <c r="A31" s="145">
        <v>3.1</v>
      </c>
      <c r="B31" s="146" t="s">
        <v>55</v>
      </c>
      <c r="C31" s="144"/>
      <c r="D31" s="736"/>
      <c r="E31" s="737"/>
      <c r="F31" s="847"/>
      <c r="G31" s="738"/>
      <c r="H31" s="2"/>
      <c r="I31" s="2"/>
      <c r="J31" s="2"/>
      <c r="K31" s="2"/>
      <c r="L31" s="2"/>
      <c r="M31" s="2"/>
      <c r="N31" s="2"/>
      <c r="O31" s="2"/>
      <c r="P31" s="2"/>
      <c r="Q31" s="2"/>
      <c r="R31" s="2"/>
      <c r="S31" s="2"/>
    </row>
    <row r="32" spans="1:19" ht="27" hidden="1" customHeight="1">
      <c r="A32" s="152"/>
      <c r="B32" s="190" t="s">
        <v>56</v>
      </c>
      <c r="C32" s="148" t="s">
        <v>57</v>
      </c>
      <c r="D32" s="736"/>
      <c r="E32" s="737"/>
      <c r="F32" s="847"/>
      <c r="G32" s="738"/>
      <c r="H32" s="2"/>
      <c r="I32" s="2"/>
      <c r="J32" s="2"/>
      <c r="K32" s="2"/>
      <c r="L32" s="2"/>
      <c r="M32" s="2"/>
      <c r="N32" s="2"/>
      <c r="O32" s="2"/>
      <c r="P32" s="2"/>
      <c r="Q32" s="2"/>
      <c r="R32" s="2"/>
      <c r="S32" s="2"/>
    </row>
    <row r="33" spans="1:19" ht="35.25" hidden="1">
      <c r="A33" s="152"/>
      <c r="B33" s="190" t="s">
        <v>58</v>
      </c>
      <c r="C33" s="148" t="s">
        <v>57</v>
      </c>
      <c r="D33" s="736"/>
      <c r="E33" s="737"/>
      <c r="F33" s="847"/>
      <c r="G33" s="738"/>
      <c r="H33" s="2"/>
      <c r="I33" s="2"/>
      <c r="J33" s="2"/>
      <c r="K33" s="2"/>
      <c r="L33" s="2"/>
      <c r="M33" s="2"/>
      <c r="N33" s="2"/>
      <c r="O33" s="2"/>
      <c r="P33" s="2"/>
      <c r="Q33" s="2"/>
      <c r="R33" s="2"/>
      <c r="S33" s="2"/>
    </row>
    <row r="34" spans="1:19" ht="27" hidden="1" customHeight="1">
      <c r="A34" s="152"/>
      <c r="B34" s="190" t="s">
        <v>59</v>
      </c>
      <c r="C34" s="148" t="s">
        <v>57</v>
      </c>
      <c r="D34" s="736"/>
      <c r="E34" s="737"/>
      <c r="F34" s="847"/>
      <c r="G34" s="738"/>
      <c r="H34" s="2"/>
      <c r="I34" s="2"/>
      <c r="J34" s="2"/>
      <c r="K34" s="2"/>
      <c r="L34" s="2"/>
      <c r="M34" s="2"/>
      <c r="N34" s="2"/>
      <c r="O34" s="2"/>
      <c r="P34" s="2"/>
      <c r="Q34" s="2"/>
      <c r="R34" s="2"/>
      <c r="S34" s="2"/>
    </row>
    <row r="35" spans="1:19" ht="38.25" hidden="1" customHeight="1">
      <c r="A35" s="152"/>
      <c r="B35" s="190" t="s">
        <v>60</v>
      </c>
      <c r="C35" s="148" t="s">
        <v>57</v>
      </c>
      <c r="D35" s="736"/>
      <c r="E35" s="737"/>
      <c r="F35" s="847"/>
      <c r="G35" s="738"/>
      <c r="H35" s="2"/>
      <c r="I35" s="2"/>
      <c r="J35" s="2"/>
      <c r="K35" s="2"/>
      <c r="L35" s="2"/>
      <c r="M35" s="2"/>
      <c r="N35" s="2"/>
      <c r="O35" s="2"/>
      <c r="P35" s="2"/>
      <c r="Q35" s="2"/>
      <c r="R35" s="2"/>
      <c r="S35" s="2"/>
    </row>
    <row r="36" spans="1:19" hidden="1">
      <c r="A36" s="152"/>
      <c r="B36" s="147"/>
      <c r="C36" s="148"/>
      <c r="D36" s="736"/>
      <c r="E36" s="737"/>
      <c r="F36" s="847"/>
      <c r="G36" s="738"/>
      <c r="H36" s="2"/>
      <c r="I36" s="2"/>
      <c r="J36" s="2"/>
      <c r="K36" s="2"/>
      <c r="L36" s="2"/>
      <c r="M36" s="2"/>
      <c r="N36" s="2"/>
      <c r="O36" s="2"/>
      <c r="P36" s="2"/>
      <c r="Q36" s="2"/>
      <c r="R36" s="2"/>
      <c r="S36" s="2"/>
    </row>
    <row r="37" spans="1:19" hidden="1">
      <c r="A37" s="150">
        <v>3.2</v>
      </c>
      <c r="B37" s="151" t="s">
        <v>61</v>
      </c>
      <c r="C37" s="743"/>
      <c r="D37" s="680"/>
      <c r="E37" s="678"/>
      <c r="F37" s="849"/>
      <c r="G37" s="744"/>
      <c r="H37" s="2"/>
      <c r="I37" s="2"/>
      <c r="J37" s="2"/>
      <c r="K37" s="2"/>
      <c r="L37" s="2"/>
      <c r="M37" s="2"/>
      <c r="N37" s="2"/>
      <c r="O37" s="2"/>
      <c r="P37" s="2"/>
      <c r="Q37" s="2"/>
      <c r="R37" s="2"/>
      <c r="S37" s="2"/>
    </row>
    <row r="38" spans="1:19" hidden="1">
      <c r="A38" s="152"/>
      <c r="B38" s="143" t="s">
        <v>62</v>
      </c>
      <c r="C38" s="148"/>
      <c r="D38" s="736"/>
      <c r="E38" s="737"/>
      <c r="F38" s="847"/>
      <c r="G38" s="738"/>
      <c r="H38" s="2"/>
      <c r="I38" s="2"/>
      <c r="J38" s="2"/>
      <c r="K38" s="2"/>
      <c r="L38" s="2"/>
      <c r="M38" s="2"/>
      <c r="N38" s="2"/>
      <c r="O38" s="2"/>
      <c r="P38" s="2"/>
      <c r="Q38" s="2"/>
      <c r="R38" s="2"/>
      <c r="S38" s="2"/>
    </row>
    <row r="39" spans="1:19" ht="23.25" hidden="1">
      <c r="A39" s="152"/>
      <c r="B39" s="147" t="s">
        <v>63</v>
      </c>
      <c r="C39" s="148"/>
      <c r="D39" s="736"/>
      <c r="E39" s="737"/>
      <c r="F39" s="847"/>
      <c r="G39" s="738"/>
      <c r="H39" s="2"/>
      <c r="I39" s="2"/>
      <c r="J39" s="2"/>
      <c r="K39" s="2"/>
      <c r="L39" s="2"/>
      <c r="M39" s="2"/>
      <c r="N39" s="2"/>
      <c r="O39" s="2"/>
      <c r="P39" s="2"/>
      <c r="Q39" s="2"/>
      <c r="R39" s="2"/>
      <c r="S39" s="2"/>
    </row>
    <row r="40" spans="1:19" hidden="1">
      <c r="A40" s="152" t="s">
        <v>64</v>
      </c>
      <c r="B40" s="147" t="s">
        <v>65</v>
      </c>
      <c r="C40" s="169" t="s">
        <v>66</v>
      </c>
      <c r="D40" s="745" t="e">
        <v>#REF!</v>
      </c>
      <c r="E40" s="737">
        <v>5200</v>
      </c>
      <c r="F40" s="847"/>
      <c r="G40" s="738" t="e">
        <v>#REF!</v>
      </c>
      <c r="H40" s="2"/>
      <c r="I40" s="2"/>
      <c r="J40" s="2"/>
      <c r="K40" s="2"/>
      <c r="L40" s="2"/>
      <c r="M40" s="2"/>
      <c r="N40" s="2"/>
      <c r="O40" s="2"/>
      <c r="P40" s="2"/>
      <c r="Q40" s="2"/>
      <c r="R40" s="2"/>
      <c r="S40" s="2"/>
    </row>
    <row r="41" spans="1:19" hidden="1">
      <c r="A41" s="152"/>
      <c r="B41" s="147"/>
      <c r="C41" s="736"/>
      <c r="D41" s="148"/>
      <c r="E41" s="737"/>
      <c r="F41" s="847"/>
      <c r="G41" s="738"/>
      <c r="H41" s="2"/>
      <c r="I41" s="2"/>
      <c r="J41" s="2"/>
      <c r="K41" s="2"/>
      <c r="L41" s="2"/>
      <c r="M41" s="2"/>
      <c r="N41" s="2"/>
      <c r="O41" s="2"/>
      <c r="P41" s="2"/>
      <c r="Q41" s="2"/>
      <c r="R41" s="2"/>
      <c r="S41" s="2"/>
    </row>
    <row r="42" spans="1:19" hidden="1">
      <c r="A42" s="152"/>
      <c r="B42" s="143" t="s">
        <v>67</v>
      </c>
      <c r="C42" s="148"/>
      <c r="D42" s="736"/>
      <c r="E42" s="737"/>
      <c r="F42" s="847"/>
      <c r="G42" s="738"/>
      <c r="H42" s="2"/>
      <c r="I42" s="2"/>
      <c r="J42" s="2"/>
      <c r="K42" s="2"/>
      <c r="L42" s="2"/>
      <c r="M42" s="2"/>
      <c r="N42" s="2"/>
      <c r="O42" s="2"/>
      <c r="P42" s="2"/>
      <c r="Q42" s="2"/>
      <c r="R42" s="2"/>
      <c r="S42" s="2"/>
    </row>
    <row r="43" spans="1:19" hidden="1">
      <c r="A43" s="152" t="s">
        <v>68</v>
      </c>
      <c r="B43" s="149" t="s">
        <v>69</v>
      </c>
      <c r="C43" s="169" t="s">
        <v>66</v>
      </c>
      <c r="D43" s="148">
        <v>14.520375</v>
      </c>
      <c r="E43" s="737">
        <v>5200</v>
      </c>
      <c r="F43" s="847"/>
      <c r="G43" s="738">
        <v>75505.95</v>
      </c>
      <c r="H43" s="2"/>
      <c r="I43" s="2"/>
      <c r="J43" s="2"/>
      <c r="K43" s="2"/>
      <c r="L43" s="2"/>
      <c r="M43" s="2"/>
      <c r="N43" s="2"/>
      <c r="O43" s="2"/>
      <c r="P43" s="2"/>
      <c r="Q43" s="2"/>
      <c r="R43" s="2"/>
      <c r="S43" s="2"/>
    </row>
    <row r="44" spans="1:19" hidden="1">
      <c r="A44" s="152" t="s">
        <v>70</v>
      </c>
      <c r="B44" s="149" t="s">
        <v>71</v>
      </c>
      <c r="C44" s="169" t="s">
        <v>66</v>
      </c>
      <c r="D44" s="148">
        <v>17.7881</v>
      </c>
      <c r="E44" s="737">
        <v>5200</v>
      </c>
      <c r="F44" s="847"/>
      <c r="G44" s="738">
        <v>92498.12</v>
      </c>
      <c r="H44" s="2"/>
      <c r="I44" s="2"/>
      <c r="J44" s="2"/>
      <c r="K44" s="2"/>
      <c r="L44" s="2"/>
      <c r="M44" s="2"/>
      <c r="N44" s="2"/>
      <c r="O44" s="2"/>
      <c r="P44" s="2"/>
      <c r="Q44" s="2"/>
      <c r="R44" s="2"/>
      <c r="S44" s="2"/>
    </row>
    <row r="45" spans="1:19" hidden="1">
      <c r="A45" s="152" t="s">
        <v>72</v>
      </c>
      <c r="B45" s="149" t="s">
        <v>73</v>
      </c>
      <c r="C45" s="169" t="s">
        <v>66</v>
      </c>
      <c r="D45" s="148">
        <v>1.8315000000000001</v>
      </c>
      <c r="E45" s="737">
        <v>5200</v>
      </c>
      <c r="F45" s="847"/>
      <c r="G45" s="738">
        <v>9523.8000000000011</v>
      </c>
      <c r="H45" s="2"/>
      <c r="I45" s="2"/>
      <c r="J45" s="2"/>
      <c r="K45" s="2"/>
      <c r="L45" s="2"/>
      <c r="M45" s="2"/>
      <c r="N45" s="2"/>
      <c r="O45" s="2"/>
      <c r="P45" s="2"/>
      <c r="Q45" s="2"/>
      <c r="R45" s="2"/>
      <c r="S45" s="2"/>
    </row>
    <row r="46" spans="1:19" hidden="1">
      <c r="A46" s="152" t="s">
        <v>74</v>
      </c>
      <c r="B46" s="149" t="s">
        <v>75</v>
      </c>
      <c r="C46" s="169" t="s">
        <v>66</v>
      </c>
      <c r="D46" s="148" t="e">
        <v>#REF!</v>
      </c>
      <c r="E46" s="737">
        <v>5200</v>
      </c>
      <c r="F46" s="847"/>
      <c r="G46" s="738" t="e">
        <v>#REF!</v>
      </c>
      <c r="H46" s="2"/>
      <c r="I46" s="2"/>
      <c r="J46" s="2"/>
      <c r="K46" s="2"/>
      <c r="L46" s="2"/>
      <c r="M46" s="2"/>
      <c r="N46" s="2"/>
      <c r="O46" s="2"/>
      <c r="P46" s="2"/>
      <c r="Q46" s="2"/>
      <c r="R46" s="2"/>
      <c r="S46" s="2"/>
    </row>
    <row r="47" spans="1:19" hidden="1">
      <c r="A47" s="152" t="s">
        <v>76</v>
      </c>
      <c r="B47" s="149" t="s">
        <v>77</v>
      </c>
      <c r="C47" s="169" t="s">
        <v>66</v>
      </c>
      <c r="D47" s="148">
        <v>0.72150000000000014</v>
      </c>
      <c r="E47" s="737">
        <v>5200</v>
      </c>
      <c r="F47" s="847"/>
      <c r="G47" s="738">
        <v>3751.8000000000006</v>
      </c>
      <c r="H47" s="2"/>
      <c r="I47" s="2"/>
      <c r="J47" s="2"/>
      <c r="K47" s="2"/>
      <c r="L47" s="2"/>
      <c r="M47" s="2"/>
      <c r="N47" s="2"/>
      <c r="O47" s="2"/>
      <c r="P47" s="2"/>
      <c r="Q47" s="2"/>
      <c r="R47" s="2"/>
      <c r="S47" s="2"/>
    </row>
    <row r="48" spans="1:19" hidden="1">
      <c r="A48" s="152" t="s">
        <v>78</v>
      </c>
      <c r="B48" s="149" t="s">
        <v>79</v>
      </c>
      <c r="C48" s="169" t="s">
        <v>66</v>
      </c>
      <c r="D48" s="148">
        <v>15.877408000000004</v>
      </c>
      <c r="E48" s="737">
        <v>5200</v>
      </c>
      <c r="F48" s="847"/>
      <c r="G48" s="738">
        <v>82562.521600000022</v>
      </c>
      <c r="H48" s="2"/>
      <c r="I48" s="2"/>
      <c r="J48" s="2"/>
      <c r="K48" s="2"/>
      <c r="L48" s="2"/>
      <c r="M48" s="2"/>
      <c r="N48" s="2"/>
      <c r="O48" s="2"/>
      <c r="P48" s="2"/>
      <c r="Q48" s="2"/>
      <c r="R48" s="2"/>
      <c r="S48" s="2"/>
    </row>
    <row r="49" spans="1:19" hidden="1">
      <c r="A49" s="152"/>
      <c r="B49" s="168"/>
      <c r="C49" s="736"/>
      <c r="D49" s="746"/>
      <c r="E49" s="737"/>
      <c r="F49" s="847"/>
      <c r="G49" s="738"/>
      <c r="H49" s="2"/>
      <c r="I49" s="2"/>
      <c r="J49" s="2"/>
      <c r="K49" s="2"/>
      <c r="L49" s="2"/>
      <c r="M49" s="2"/>
      <c r="N49" s="2"/>
      <c r="O49" s="2"/>
      <c r="P49" s="2"/>
      <c r="Q49" s="2"/>
      <c r="R49" s="2"/>
      <c r="S49" s="2"/>
    </row>
    <row r="50" spans="1:19" hidden="1">
      <c r="A50" s="145"/>
      <c r="B50" s="143" t="s">
        <v>80</v>
      </c>
      <c r="C50" s="154"/>
      <c r="D50" s="148"/>
      <c r="E50" s="737"/>
      <c r="F50" s="847"/>
      <c r="G50" s="738"/>
      <c r="H50" s="2"/>
      <c r="I50" s="2"/>
      <c r="J50" s="2"/>
      <c r="K50" s="2"/>
      <c r="L50" s="2"/>
      <c r="M50" s="2"/>
      <c r="N50" s="2"/>
      <c r="O50" s="2"/>
      <c r="P50" s="2"/>
      <c r="Q50" s="2"/>
      <c r="R50" s="2"/>
      <c r="S50" s="2"/>
    </row>
    <row r="51" spans="1:19" hidden="1">
      <c r="A51" s="152" t="s">
        <v>81</v>
      </c>
      <c r="B51" s="149" t="str">
        <f>B43</f>
        <v>Raft - 400mm tk</v>
      </c>
      <c r="C51" s="154" t="s">
        <v>82</v>
      </c>
      <c r="D51" s="148">
        <v>1</v>
      </c>
      <c r="E51" s="737">
        <v>11300</v>
      </c>
      <c r="F51" s="847"/>
      <c r="G51" s="738">
        <v>11300</v>
      </c>
      <c r="H51" s="2"/>
      <c r="I51" s="2"/>
      <c r="J51" s="2"/>
      <c r="K51" s="2"/>
      <c r="L51" s="2"/>
      <c r="M51" s="2"/>
      <c r="N51" s="2"/>
      <c r="O51" s="2"/>
      <c r="P51" s="2"/>
      <c r="Q51" s="2"/>
      <c r="R51" s="2"/>
      <c r="S51" s="2"/>
    </row>
    <row r="52" spans="1:19" hidden="1">
      <c r="A52" s="152" t="s">
        <v>83</v>
      </c>
      <c r="B52" s="149" t="str">
        <f>B44</f>
        <v>Foundation beams</v>
      </c>
      <c r="C52" s="154" t="s">
        <v>84</v>
      </c>
      <c r="D52" s="148">
        <v>85.884800000000013</v>
      </c>
      <c r="E52" s="737">
        <v>320</v>
      </c>
      <c r="F52" s="847"/>
      <c r="G52" s="738">
        <v>27483.136000000006</v>
      </c>
      <c r="H52" s="2"/>
      <c r="I52" s="2"/>
      <c r="J52" s="2"/>
      <c r="K52" s="2"/>
      <c r="L52" s="2"/>
      <c r="M52" s="2"/>
      <c r="N52" s="2"/>
      <c r="O52" s="2"/>
      <c r="P52" s="2"/>
      <c r="Q52" s="2"/>
      <c r="R52" s="2"/>
      <c r="S52" s="2"/>
    </row>
    <row r="53" spans="1:19" hidden="1">
      <c r="A53" s="152" t="s">
        <v>85</v>
      </c>
      <c r="B53" s="149" t="str">
        <f>B45</f>
        <v>Columns</v>
      </c>
      <c r="C53" s="154" t="s">
        <v>84</v>
      </c>
      <c r="D53" s="148">
        <v>30.155000000000001</v>
      </c>
      <c r="E53" s="737">
        <v>320</v>
      </c>
      <c r="F53" s="847"/>
      <c r="G53" s="738">
        <v>9649.6</v>
      </c>
      <c r="H53" s="2"/>
      <c r="I53" s="2"/>
      <c r="J53" s="2"/>
      <c r="K53" s="2"/>
      <c r="L53" s="2"/>
      <c r="M53" s="2"/>
      <c r="N53" s="2"/>
      <c r="O53" s="2"/>
      <c r="P53" s="2"/>
      <c r="Q53" s="2"/>
      <c r="R53" s="2"/>
      <c r="S53" s="2"/>
    </row>
    <row r="54" spans="1:19" hidden="1">
      <c r="A54" s="152" t="s">
        <v>86</v>
      </c>
      <c r="B54" s="149" t="str">
        <f>B46</f>
        <v>Lift wall</v>
      </c>
      <c r="C54" s="154" t="s">
        <v>84</v>
      </c>
      <c r="D54" s="148" t="e">
        <v>#REF!</v>
      </c>
      <c r="E54" s="737">
        <v>320</v>
      </c>
      <c r="F54" s="847"/>
      <c r="G54" s="738" t="e">
        <v>#REF!</v>
      </c>
      <c r="H54" s="2"/>
      <c r="I54" s="2"/>
      <c r="J54" s="2"/>
      <c r="K54" s="2"/>
      <c r="L54" s="2"/>
      <c r="M54" s="2"/>
      <c r="N54" s="2"/>
      <c r="O54" s="2"/>
      <c r="P54" s="2"/>
      <c r="Q54" s="2"/>
      <c r="R54" s="2"/>
      <c r="S54" s="2"/>
    </row>
    <row r="55" spans="1:19" hidden="1">
      <c r="A55" s="152" t="s">
        <v>87</v>
      </c>
      <c r="B55" s="149" t="str">
        <f>B47</f>
        <v>Stair starter</v>
      </c>
      <c r="C55" s="154" t="s">
        <v>84</v>
      </c>
      <c r="D55" s="148">
        <v>5.9200000000000008</v>
      </c>
      <c r="E55" s="737">
        <v>320</v>
      </c>
      <c r="F55" s="847"/>
      <c r="G55" s="738">
        <v>1894.4000000000003</v>
      </c>
      <c r="H55" s="2"/>
      <c r="I55" s="2"/>
      <c r="J55" s="2"/>
      <c r="K55" s="2"/>
      <c r="L55" s="2"/>
      <c r="M55" s="2"/>
      <c r="N55" s="2"/>
      <c r="O55" s="2"/>
      <c r="P55" s="2"/>
      <c r="Q55" s="2"/>
      <c r="R55" s="2"/>
      <c r="S55" s="2"/>
    </row>
    <row r="56" spans="1:19" hidden="1">
      <c r="A56" s="152"/>
      <c r="B56" s="168"/>
      <c r="C56" s="736"/>
      <c r="D56" s="746"/>
      <c r="E56" s="737"/>
      <c r="F56" s="847"/>
      <c r="G56" s="738"/>
      <c r="H56" s="2"/>
      <c r="I56" s="2"/>
      <c r="J56" s="2"/>
      <c r="K56" s="2"/>
      <c r="L56" s="2"/>
      <c r="M56" s="2"/>
      <c r="N56" s="2"/>
      <c r="O56" s="2"/>
      <c r="P56" s="2"/>
      <c r="Q56" s="2"/>
      <c r="R56" s="2"/>
      <c r="S56" s="2"/>
    </row>
    <row r="57" spans="1:19" hidden="1">
      <c r="A57" s="153"/>
      <c r="B57" s="143" t="s">
        <v>88</v>
      </c>
      <c r="C57" s="154"/>
      <c r="D57" s="148"/>
      <c r="E57" s="737"/>
      <c r="F57" s="847"/>
      <c r="G57" s="738"/>
      <c r="H57" s="2"/>
      <c r="I57" s="2"/>
      <c r="J57" s="2"/>
      <c r="K57" s="2"/>
      <c r="L57" s="2"/>
      <c r="M57" s="2"/>
      <c r="N57" s="2"/>
      <c r="O57" s="2"/>
      <c r="P57" s="2"/>
      <c r="Q57" s="2"/>
      <c r="R57" s="2"/>
      <c r="S57" s="2"/>
    </row>
    <row r="58" spans="1:19" hidden="1">
      <c r="A58" s="152" t="s">
        <v>89</v>
      </c>
      <c r="B58" s="149" t="str">
        <f>B51</f>
        <v>Raft - 400mm tk</v>
      </c>
      <c r="C58" s="154"/>
      <c r="D58" s="743"/>
      <c r="E58" s="737"/>
      <c r="F58" s="847"/>
      <c r="G58" s="738"/>
      <c r="H58" s="2"/>
      <c r="I58" s="2"/>
      <c r="J58" s="2"/>
      <c r="K58" s="2"/>
      <c r="L58" s="2"/>
      <c r="M58" s="2"/>
      <c r="N58" s="2"/>
      <c r="O58" s="2"/>
      <c r="P58" s="2"/>
      <c r="Q58" s="2"/>
      <c r="R58" s="2"/>
      <c r="S58" s="2"/>
    </row>
    <row r="59" spans="1:19" hidden="1">
      <c r="A59" s="152" t="s">
        <v>90</v>
      </c>
      <c r="B59" s="149" t="s">
        <v>91</v>
      </c>
      <c r="C59" s="154" t="s">
        <v>92</v>
      </c>
      <c r="D59" s="743">
        <v>4445.0719999999992</v>
      </c>
      <c r="E59" s="737">
        <v>29.5</v>
      </c>
      <c r="F59" s="847"/>
      <c r="G59" s="738">
        <v>131129.62399999998</v>
      </c>
      <c r="H59" s="2"/>
      <c r="I59" s="2"/>
      <c r="J59" s="2"/>
      <c r="K59" s="2"/>
      <c r="L59" s="2"/>
      <c r="M59" s="2"/>
      <c r="N59" s="2"/>
      <c r="O59" s="2"/>
      <c r="P59" s="2"/>
      <c r="Q59" s="2"/>
      <c r="R59" s="2"/>
      <c r="S59" s="2"/>
    </row>
    <row r="60" spans="1:19" hidden="1">
      <c r="A60" s="152" t="s">
        <v>93</v>
      </c>
      <c r="B60" s="149" t="str">
        <f>B52</f>
        <v>Foundation beams</v>
      </c>
      <c r="C60" s="154"/>
      <c r="D60" s="743"/>
      <c r="E60" s="737"/>
      <c r="F60" s="847"/>
      <c r="G60" s="738"/>
      <c r="H60" s="2"/>
      <c r="I60" s="2"/>
      <c r="J60" s="2"/>
      <c r="K60" s="2"/>
      <c r="L60" s="2"/>
      <c r="M60" s="2"/>
      <c r="N60" s="2"/>
      <c r="O60" s="2"/>
      <c r="P60" s="2"/>
      <c r="Q60" s="2"/>
      <c r="R60" s="2"/>
      <c r="S60" s="2"/>
    </row>
    <row r="61" spans="1:19" hidden="1">
      <c r="A61" s="152" t="s">
        <v>90</v>
      </c>
      <c r="B61" s="149" t="s">
        <v>94</v>
      </c>
      <c r="C61" s="154" t="s">
        <v>92</v>
      </c>
      <c r="D61" s="743">
        <v>0</v>
      </c>
      <c r="E61" s="737">
        <v>29.5</v>
      </c>
      <c r="F61" s="847"/>
      <c r="G61" s="738">
        <v>0</v>
      </c>
      <c r="H61" s="2"/>
      <c r="I61" s="2"/>
      <c r="J61" s="2"/>
      <c r="K61" s="2"/>
      <c r="L61" s="2"/>
      <c r="M61" s="2"/>
      <c r="N61" s="2"/>
      <c r="O61" s="2"/>
      <c r="P61" s="2"/>
      <c r="Q61" s="2"/>
      <c r="R61" s="2"/>
      <c r="S61" s="2"/>
    </row>
    <row r="62" spans="1:19" hidden="1">
      <c r="A62" s="152" t="s">
        <v>95</v>
      </c>
      <c r="B62" s="149" t="s">
        <v>96</v>
      </c>
      <c r="C62" s="154" t="s">
        <v>92</v>
      </c>
      <c r="D62" s="743">
        <v>2525.2879170370375</v>
      </c>
      <c r="E62" s="737">
        <v>29.5</v>
      </c>
      <c r="F62" s="847"/>
      <c r="G62" s="738">
        <v>74495.993552592612</v>
      </c>
      <c r="H62" s="2"/>
      <c r="I62" s="2"/>
      <c r="J62" s="2"/>
      <c r="K62" s="2"/>
      <c r="L62" s="2"/>
      <c r="M62" s="2"/>
      <c r="N62" s="2"/>
      <c r="O62" s="2"/>
      <c r="P62" s="2"/>
      <c r="Q62" s="2"/>
      <c r="R62" s="2"/>
      <c r="S62" s="2"/>
    </row>
    <row r="63" spans="1:19" hidden="1">
      <c r="A63" s="152" t="s">
        <v>97</v>
      </c>
      <c r="B63" s="149" t="s">
        <v>98</v>
      </c>
      <c r="C63" s="154" t="s">
        <v>92</v>
      </c>
      <c r="D63" s="743">
        <v>0</v>
      </c>
      <c r="E63" s="737">
        <v>29.5</v>
      </c>
      <c r="F63" s="847"/>
      <c r="G63" s="738">
        <v>0</v>
      </c>
      <c r="H63" s="2"/>
      <c r="I63" s="2"/>
      <c r="J63" s="2"/>
      <c r="K63" s="2"/>
      <c r="L63" s="2"/>
      <c r="M63" s="2"/>
      <c r="N63" s="2"/>
      <c r="O63" s="2"/>
      <c r="P63" s="2"/>
      <c r="Q63" s="2"/>
      <c r="R63" s="2"/>
      <c r="S63" s="2"/>
    </row>
    <row r="64" spans="1:19" ht="13.5" hidden="1" customHeight="1">
      <c r="A64" s="152" t="s">
        <v>99</v>
      </c>
      <c r="B64" s="149" t="str">
        <f>B53</f>
        <v>Columns</v>
      </c>
      <c r="C64" s="154"/>
      <c r="D64" s="743"/>
      <c r="E64" s="737"/>
      <c r="F64" s="847"/>
      <c r="G64" s="738"/>
      <c r="H64" s="2"/>
      <c r="I64" s="2"/>
      <c r="J64" s="2"/>
      <c r="K64" s="2"/>
      <c r="L64" s="2"/>
      <c r="M64" s="2"/>
      <c r="N64" s="2"/>
      <c r="O64" s="2"/>
      <c r="P64" s="2"/>
      <c r="Q64" s="2"/>
      <c r="R64" s="2"/>
      <c r="S64" s="2"/>
    </row>
    <row r="65" spans="1:19" hidden="1">
      <c r="A65" s="593" t="s">
        <v>90</v>
      </c>
      <c r="B65" s="189" t="s">
        <v>94</v>
      </c>
      <c r="C65" s="647" t="s">
        <v>92</v>
      </c>
      <c r="D65" s="747">
        <v>367.99999999999994</v>
      </c>
      <c r="E65" s="748">
        <v>29.5</v>
      </c>
      <c r="F65" s="850"/>
      <c r="G65" s="749">
        <v>10855.999999999998</v>
      </c>
      <c r="H65" s="2"/>
      <c r="I65" s="2"/>
      <c r="J65" s="2"/>
      <c r="K65" s="2"/>
      <c r="L65" s="2"/>
      <c r="M65" s="2"/>
      <c r="N65" s="2"/>
      <c r="O65" s="2"/>
      <c r="P65" s="2"/>
      <c r="Q65" s="2"/>
      <c r="R65" s="2"/>
      <c r="S65" s="2"/>
    </row>
    <row r="66" spans="1:19" hidden="1">
      <c r="A66" s="152" t="s">
        <v>95</v>
      </c>
      <c r="B66" s="149" t="s">
        <v>96</v>
      </c>
      <c r="C66" s="154" t="s">
        <v>92</v>
      </c>
      <c r="D66" s="743">
        <v>159.28888888888889</v>
      </c>
      <c r="E66" s="737">
        <v>29.5</v>
      </c>
      <c r="F66" s="847"/>
      <c r="G66" s="738">
        <v>4699.0222222222219</v>
      </c>
      <c r="H66" s="2"/>
      <c r="I66" s="2"/>
      <c r="J66" s="2"/>
      <c r="K66" s="2"/>
      <c r="L66" s="2"/>
      <c r="M66" s="2"/>
      <c r="N66" s="2"/>
      <c r="O66" s="2"/>
      <c r="P66" s="2"/>
      <c r="Q66" s="2"/>
      <c r="R66" s="2"/>
      <c r="S66" s="2"/>
    </row>
    <row r="67" spans="1:19" hidden="1">
      <c r="A67" s="152" t="s">
        <v>97</v>
      </c>
      <c r="B67" s="149" t="s">
        <v>100</v>
      </c>
      <c r="C67" s="154" t="s">
        <v>92</v>
      </c>
      <c r="D67" s="743">
        <v>36.275555555555556</v>
      </c>
      <c r="E67" s="737">
        <v>29.5</v>
      </c>
      <c r="F67" s="847"/>
      <c r="G67" s="738">
        <v>1070.1288888888889</v>
      </c>
      <c r="H67" s="2"/>
      <c r="I67" s="2"/>
      <c r="J67" s="2"/>
      <c r="K67" s="2"/>
      <c r="L67" s="2"/>
      <c r="M67" s="2"/>
      <c r="N67" s="2"/>
      <c r="O67" s="2"/>
      <c r="P67" s="2"/>
      <c r="Q67" s="2"/>
      <c r="R67" s="2"/>
      <c r="S67" s="2"/>
    </row>
    <row r="68" spans="1:19" ht="13.5" hidden="1" customHeight="1">
      <c r="A68" s="152" t="s">
        <v>101</v>
      </c>
      <c r="B68" s="149" t="str">
        <f>B54</f>
        <v>Lift wall</v>
      </c>
      <c r="C68" s="154"/>
      <c r="D68" s="743"/>
      <c r="E68" s="737"/>
      <c r="F68" s="847"/>
      <c r="G68" s="738"/>
      <c r="H68" s="2"/>
      <c r="I68" s="2"/>
      <c r="J68" s="2"/>
      <c r="K68" s="2"/>
      <c r="L68" s="2"/>
      <c r="M68" s="2"/>
      <c r="N68" s="2"/>
      <c r="O68" s="2"/>
      <c r="P68" s="2"/>
      <c r="Q68" s="2"/>
      <c r="R68" s="2"/>
      <c r="S68" s="2"/>
    </row>
    <row r="69" spans="1:19" hidden="1">
      <c r="A69" s="152" t="s">
        <v>90</v>
      </c>
      <c r="B69" s="149" t="s">
        <v>91</v>
      </c>
      <c r="C69" s="154" t="s">
        <v>92</v>
      </c>
      <c r="D69" s="743">
        <v>199.45546666666661</v>
      </c>
      <c r="E69" s="737">
        <v>29.5</v>
      </c>
      <c r="F69" s="847"/>
      <c r="G69" s="738">
        <v>5883.9362666666648</v>
      </c>
      <c r="H69" s="2"/>
      <c r="I69" s="2"/>
      <c r="J69" s="2"/>
      <c r="K69" s="2"/>
      <c r="L69" s="2"/>
      <c r="M69" s="2"/>
      <c r="N69" s="2"/>
      <c r="O69" s="2"/>
      <c r="P69" s="2"/>
      <c r="Q69" s="2"/>
      <c r="R69" s="2"/>
      <c r="S69" s="2"/>
    </row>
    <row r="70" spans="1:19" hidden="1">
      <c r="A70" s="152" t="s">
        <v>95</v>
      </c>
      <c r="B70" s="149" t="s">
        <v>98</v>
      </c>
      <c r="C70" s="154" t="s">
        <v>92</v>
      </c>
      <c r="D70" s="743">
        <v>41.805555555555557</v>
      </c>
      <c r="E70" s="737">
        <v>29.5</v>
      </c>
      <c r="F70" s="847"/>
      <c r="G70" s="738">
        <v>1233.2638888888889</v>
      </c>
      <c r="H70" s="2"/>
      <c r="I70" s="2"/>
      <c r="J70" s="2"/>
      <c r="K70" s="2"/>
      <c r="L70" s="2"/>
      <c r="M70" s="2"/>
      <c r="N70" s="2"/>
      <c r="O70" s="2"/>
      <c r="P70" s="2"/>
      <c r="Q70" s="2"/>
      <c r="R70" s="2"/>
      <c r="S70" s="2"/>
    </row>
    <row r="71" spans="1:19" ht="13.5" hidden="1" customHeight="1">
      <c r="A71" s="152" t="s">
        <v>102</v>
      </c>
      <c r="B71" s="149" t="str">
        <f>B55</f>
        <v>Stair starter</v>
      </c>
      <c r="C71" s="154"/>
      <c r="D71" s="743"/>
      <c r="E71" s="737"/>
      <c r="F71" s="847"/>
      <c r="G71" s="738"/>
      <c r="H71" s="2"/>
      <c r="I71" s="2"/>
      <c r="J71" s="2"/>
      <c r="K71" s="2"/>
      <c r="L71" s="2"/>
      <c r="M71" s="2"/>
      <c r="N71" s="2"/>
      <c r="O71" s="2"/>
      <c r="P71" s="2"/>
      <c r="Q71" s="2"/>
      <c r="R71" s="2"/>
      <c r="S71" s="2"/>
    </row>
    <row r="72" spans="1:19" hidden="1">
      <c r="A72" s="152" t="s">
        <v>90</v>
      </c>
      <c r="B72" s="149" t="s">
        <v>98</v>
      </c>
      <c r="C72" s="154" t="s">
        <v>92</v>
      </c>
      <c r="D72" s="743">
        <v>42</v>
      </c>
      <c r="E72" s="737">
        <v>29.5</v>
      </c>
      <c r="F72" s="847"/>
      <c r="G72" s="738">
        <v>1239</v>
      </c>
      <c r="H72" s="2"/>
      <c r="I72" s="2"/>
      <c r="J72" s="2"/>
      <c r="K72" s="2"/>
      <c r="L72" s="2"/>
      <c r="M72" s="2"/>
      <c r="N72" s="2"/>
      <c r="O72" s="2"/>
      <c r="P72" s="2"/>
      <c r="Q72" s="2"/>
      <c r="R72" s="2"/>
      <c r="S72" s="2"/>
    </row>
    <row r="73" spans="1:19" ht="13.5" hidden="1" customHeight="1">
      <c r="A73" s="152" t="s">
        <v>103</v>
      </c>
      <c r="B73" s="149" t="str">
        <f>B48</f>
        <v>Grade slab - 100mm tk</v>
      </c>
      <c r="C73" s="154"/>
      <c r="D73" s="743"/>
      <c r="E73" s="737"/>
      <c r="F73" s="847"/>
      <c r="G73" s="738"/>
      <c r="H73" s="2"/>
      <c r="I73" s="2"/>
      <c r="J73" s="2"/>
      <c r="K73" s="2"/>
      <c r="L73" s="2"/>
      <c r="M73" s="2"/>
      <c r="N73" s="2"/>
      <c r="O73" s="2"/>
      <c r="P73" s="2"/>
      <c r="Q73" s="2"/>
      <c r="R73" s="2"/>
      <c r="S73" s="2"/>
    </row>
    <row r="74" spans="1:19" hidden="1">
      <c r="A74" s="152" t="s">
        <v>90</v>
      </c>
      <c r="B74" s="149" t="s">
        <v>100</v>
      </c>
      <c r="C74" s="154" t="s">
        <v>92</v>
      </c>
      <c r="D74" s="743">
        <v>281.35159111111113</v>
      </c>
      <c r="E74" s="737">
        <v>29.5</v>
      </c>
      <c r="F74" s="847"/>
      <c r="G74" s="738">
        <v>8299.8719377777779</v>
      </c>
      <c r="H74" s="2"/>
      <c r="I74" s="2"/>
      <c r="J74" s="2"/>
      <c r="K74" s="2"/>
      <c r="L74" s="2"/>
      <c r="M74" s="2"/>
      <c r="N74" s="2"/>
      <c r="O74" s="2"/>
      <c r="P74" s="2"/>
      <c r="Q74" s="2"/>
      <c r="R74" s="2"/>
      <c r="S74" s="2"/>
    </row>
    <row r="75" spans="1:19" hidden="1">
      <c r="A75" s="152"/>
      <c r="B75" s="149"/>
      <c r="C75" s="154"/>
      <c r="D75" s="148"/>
      <c r="E75" s="737"/>
      <c r="F75" s="847"/>
      <c r="G75" s="738"/>
      <c r="H75" s="2"/>
      <c r="I75" s="2"/>
      <c r="J75" s="2"/>
      <c r="K75" s="2"/>
      <c r="L75" s="2"/>
      <c r="M75" s="2"/>
      <c r="N75" s="2"/>
      <c r="O75" s="2"/>
      <c r="P75" s="2"/>
      <c r="Q75" s="2"/>
      <c r="R75" s="2"/>
      <c r="S75" s="2"/>
    </row>
    <row r="76" spans="1:19" hidden="1">
      <c r="A76" s="150">
        <v>3.3</v>
      </c>
      <c r="B76" s="151" t="s">
        <v>104</v>
      </c>
      <c r="C76" s="743"/>
      <c r="D76" s="680"/>
      <c r="E76" s="678"/>
      <c r="F76" s="849"/>
      <c r="G76" s="744"/>
      <c r="H76" s="2"/>
      <c r="I76" s="2"/>
      <c r="J76" s="2"/>
      <c r="K76" s="2"/>
      <c r="L76" s="2"/>
      <c r="M76" s="2"/>
      <c r="N76" s="2"/>
      <c r="O76" s="2"/>
      <c r="P76" s="2"/>
      <c r="Q76" s="2"/>
      <c r="R76" s="2"/>
      <c r="S76" s="2"/>
    </row>
    <row r="77" spans="1:19" hidden="1">
      <c r="A77" s="152"/>
      <c r="B77" s="143" t="s">
        <v>105</v>
      </c>
      <c r="C77" s="148"/>
      <c r="D77" s="736"/>
      <c r="E77" s="737"/>
      <c r="F77" s="847"/>
      <c r="G77" s="738"/>
      <c r="H77" s="2"/>
      <c r="I77" s="2"/>
      <c r="J77" s="2"/>
      <c r="K77" s="2"/>
      <c r="L77" s="2"/>
      <c r="M77" s="2"/>
      <c r="N77" s="2"/>
      <c r="O77" s="2"/>
      <c r="P77" s="2"/>
      <c r="Q77" s="2"/>
      <c r="R77" s="2"/>
      <c r="S77" s="2"/>
    </row>
    <row r="78" spans="1:19" hidden="1">
      <c r="A78" s="152" t="s">
        <v>106</v>
      </c>
      <c r="B78" s="149" t="s">
        <v>73</v>
      </c>
      <c r="C78" s="169" t="s">
        <v>66</v>
      </c>
      <c r="D78" s="148">
        <v>2.97</v>
      </c>
      <c r="E78" s="737">
        <v>5200</v>
      </c>
      <c r="F78" s="847"/>
      <c r="G78" s="738">
        <v>15444.000000000002</v>
      </c>
      <c r="H78" s="2"/>
      <c r="I78" s="2"/>
      <c r="J78" s="2"/>
      <c r="K78" s="2"/>
      <c r="L78" s="2"/>
      <c r="M78" s="2"/>
      <c r="N78" s="2"/>
      <c r="O78" s="2"/>
      <c r="P78" s="2"/>
      <c r="Q78" s="2"/>
      <c r="R78" s="2"/>
      <c r="S78" s="2"/>
    </row>
    <row r="79" spans="1:19" hidden="1">
      <c r="A79" s="152" t="s">
        <v>107</v>
      </c>
      <c r="B79" s="149" t="s">
        <v>108</v>
      </c>
      <c r="C79" s="169" t="s">
        <v>66</v>
      </c>
      <c r="D79" s="148">
        <v>7.0745600000000017</v>
      </c>
      <c r="E79" s="737">
        <v>5200</v>
      </c>
      <c r="F79" s="847"/>
      <c r="G79" s="738">
        <v>36787.712000000007</v>
      </c>
      <c r="H79" s="2"/>
      <c r="I79" s="2"/>
      <c r="J79" s="2"/>
      <c r="K79" s="2"/>
      <c r="L79" s="2"/>
      <c r="M79" s="2"/>
      <c r="N79" s="2"/>
      <c r="O79" s="2"/>
      <c r="P79" s="2"/>
      <c r="Q79" s="2"/>
      <c r="R79" s="2"/>
      <c r="S79" s="2"/>
    </row>
    <row r="80" spans="1:19" hidden="1">
      <c r="A80" s="152" t="s">
        <v>109</v>
      </c>
      <c r="B80" s="149" t="s">
        <v>110</v>
      </c>
      <c r="C80" s="169" t="s">
        <v>66</v>
      </c>
      <c r="D80" s="148">
        <v>18.231171884999998</v>
      </c>
      <c r="E80" s="737">
        <v>5200</v>
      </c>
      <c r="F80" s="847"/>
      <c r="G80" s="738">
        <v>94802.093801999989</v>
      </c>
      <c r="H80" s="2"/>
      <c r="I80" s="2"/>
      <c r="J80" s="2"/>
      <c r="K80" s="2"/>
      <c r="L80" s="2"/>
      <c r="M80" s="2"/>
      <c r="N80" s="2"/>
      <c r="O80" s="2"/>
      <c r="P80" s="2"/>
      <c r="Q80" s="2"/>
      <c r="R80" s="2"/>
      <c r="S80" s="2"/>
    </row>
    <row r="81" spans="1:19" hidden="1">
      <c r="A81" s="152" t="s">
        <v>111</v>
      </c>
      <c r="B81" s="149" t="s">
        <v>75</v>
      </c>
      <c r="C81" s="169" t="s">
        <v>66</v>
      </c>
      <c r="D81" s="148" t="e">
        <v>#REF!</v>
      </c>
      <c r="E81" s="737">
        <v>5200</v>
      </c>
      <c r="F81" s="847"/>
      <c r="G81" s="738" t="e">
        <v>#REF!</v>
      </c>
      <c r="H81" s="2"/>
      <c r="I81" s="2"/>
      <c r="J81" s="2"/>
      <c r="K81" s="2"/>
      <c r="L81" s="2"/>
      <c r="M81" s="2"/>
      <c r="N81" s="2"/>
      <c r="O81" s="2"/>
      <c r="P81" s="2"/>
      <c r="Q81" s="2"/>
      <c r="R81" s="2"/>
      <c r="S81" s="2"/>
    </row>
    <row r="82" spans="1:19" hidden="1">
      <c r="A82" s="152" t="s">
        <v>112</v>
      </c>
      <c r="B82" s="149" t="s">
        <v>113</v>
      </c>
      <c r="C82" s="169" t="s">
        <v>66</v>
      </c>
      <c r="D82" s="148">
        <v>1.6418800000000002</v>
      </c>
      <c r="E82" s="737">
        <v>5200</v>
      </c>
      <c r="F82" s="847"/>
      <c r="G82" s="738">
        <v>8537.7760000000017</v>
      </c>
      <c r="H82" s="2"/>
      <c r="I82" s="2"/>
      <c r="J82" s="2"/>
      <c r="K82" s="2"/>
      <c r="L82" s="2"/>
      <c r="M82" s="2"/>
      <c r="N82" s="2"/>
      <c r="O82" s="2"/>
      <c r="P82" s="2"/>
      <c r="Q82" s="2"/>
      <c r="R82" s="2"/>
      <c r="S82" s="2"/>
    </row>
    <row r="83" spans="1:19" hidden="1">
      <c r="A83" s="152"/>
      <c r="B83" s="149"/>
      <c r="C83" s="154"/>
      <c r="D83" s="148"/>
      <c r="E83" s="737"/>
      <c r="F83" s="847"/>
      <c r="G83" s="738"/>
      <c r="H83" s="2"/>
      <c r="I83" s="2"/>
      <c r="J83" s="2"/>
      <c r="K83" s="2"/>
      <c r="L83" s="2"/>
      <c r="M83" s="2"/>
      <c r="N83" s="2"/>
      <c r="O83" s="2"/>
      <c r="P83" s="2"/>
      <c r="Q83" s="2"/>
      <c r="R83" s="2"/>
      <c r="S83" s="2"/>
    </row>
    <row r="84" spans="1:19" hidden="1">
      <c r="A84" s="152"/>
      <c r="B84" s="143" t="s">
        <v>80</v>
      </c>
      <c r="C84" s="148"/>
      <c r="D84" s="736"/>
      <c r="E84" s="737"/>
      <c r="F84" s="847"/>
      <c r="G84" s="738"/>
      <c r="H84" s="2"/>
      <c r="I84" s="2"/>
      <c r="J84" s="2"/>
      <c r="K84" s="2"/>
      <c r="L84" s="2"/>
      <c r="M84" s="2"/>
      <c r="N84" s="2"/>
      <c r="O84" s="2"/>
      <c r="P84" s="2"/>
      <c r="Q84" s="2"/>
      <c r="R84" s="2"/>
      <c r="S84" s="2"/>
    </row>
    <row r="85" spans="1:19" hidden="1">
      <c r="A85" s="152" t="s">
        <v>114</v>
      </c>
      <c r="B85" s="149" t="s">
        <v>73</v>
      </c>
      <c r="C85" s="154" t="s">
        <v>84</v>
      </c>
      <c r="D85" s="148">
        <v>48.9</v>
      </c>
      <c r="E85" s="737">
        <v>320</v>
      </c>
      <c r="F85" s="847"/>
      <c r="G85" s="738">
        <v>15648</v>
      </c>
      <c r="H85" s="2"/>
      <c r="I85" s="2"/>
      <c r="J85" s="2"/>
      <c r="K85" s="2"/>
      <c r="L85" s="2"/>
      <c r="M85" s="2"/>
      <c r="N85" s="2"/>
      <c r="O85" s="2"/>
      <c r="P85" s="2"/>
      <c r="Q85" s="2"/>
      <c r="R85" s="2"/>
      <c r="S85" s="2"/>
    </row>
    <row r="86" spans="1:19" hidden="1">
      <c r="A86" s="152" t="s">
        <v>115</v>
      </c>
      <c r="B86" s="149" t="s">
        <v>108</v>
      </c>
      <c r="C86" s="154" t="s">
        <v>84</v>
      </c>
      <c r="D86" s="148">
        <v>88.432000000000002</v>
      </c>
      <c r="E86" s="737">
        <v>320</v>
      </c>
      <c r="F86" s="847"/>
      <c r="G86" s="738">
        <v>28298.240000000002</v>
      </c>
      <c r="H86" s="2"/>
      <c r="I86" s="2"/>
      <c r="J86" s="2"/>
      <c r="K86" s="2"/>
      <c r="L86" s="2"/>
      <c r="M86" s="2"/>
      <c r="N86" s="2"/>
      <c r="O86" s="2"/>
      <c r="P86" s="2"/>
      <c r="Q86" s="2"/>
      <c r="R86" s="2"/>
      <c r="S86" s="2"/>
    </row>
    <row r="87" spans="1:19" hidden="1">
      <c r="A87" s="152" t="s">
        <v>116</v>
      </c>
      <c r="B87" s="149" t="s">
        <v>110</v>
      </c>
      <c r="C87" s="154" t="s">
        <v>84</v>
      </c>
      <c r="D87" s="148">
        <v>-8.6951600000000013</v>
      </c>
      <c r="E87" s="737">
        <v>320</v>
      </c>
      <c r="F87" s="847"/>
      <c r="G87" s="738">
        <v>-2782.4512000000004</v>
      </c>
      <c r="H87" s="2"/>
      <c r="I87" s="2"/>
      <c r="J87" s="2"/>
      <c r="K87" s="2"/>
      <c r="L87" s="2"/>
      <c r="M87" s="2"/>
      <c r="N87" s="2"/>
      <c r="O87" s="2"/>
      <c r="P87" s="2"/>
      <c r="Q87" s="2"/>
      <c r="R87" s="2"/>
      <c r="S87" s="2"/>
    </row>
    <row r="88" spans="1:19" hidden="1">
      <c r="A88" s="152" t="s">
        <v>117</v>
      </c>
      <c r="B88" s="149" t="s">
        <v>75</v>
      </c>
      <c r="C88" s="154" t="s">
        <v>84</v>
      </c>
      <c r="D88" s="148" t="e">
        <v>#REF!</v>
      </c>
      <c r="E88" s="737">
        <v>320</v>
      </c>
      <c r="F88" s="847"/>
      <c r="G88" s="738" t="e">
        <v>#REF!</v>
      </c>
      <c r="H88" s="2"/>
      <c r="I88" s="2"/>
      <c r="J88" s="2"/>
      <c r="K88" s="2"/>
      <c r="L88" s="2"/>
      <c r="M88" s="2"/>
      <c r="N88" s="2"/>
      <c r="O88" s="2"/>
      <c r="P88" s="2"/>
      <c r="Q88" s="2"/>
      <c r="R88" s="2"/>
      <c r="S88" s="2"/>
    </row>
    <row r="89" spans="1:19" hidden="1">
      <c r="A89" s="152" t="s">
        <v>118</v>
      </c>
      <c r="B89" s="149" t="s">
        <v>113</v>
      </c>
      <c r="C89" s="154" t="s">
        <v>84</v>
      </c>
      <c r="D89" s="148">
        <v>12</v>
      </c>
      <c r="E89" s="737">
        <v>320</v>
      </c>
      <c r="F89" s="847"/>
      <c r="G89" s="738">
        <v>3840</v>
      </c>
      <c r="H89" s="2"/>
      <c r="I89" s="2"/>
      <c r="J89" s="2"/>
      <c r="K89" s="2"/>
      <c r="L89" s="2"/>
      <c r="M89" s="2"/>
      <c r="N89" s="2"/>
      <c r="O89" s="2"/>
      <c r="P89" s="2"/>
      <c r="Q89" s="2"/>
      <c r="R89" s="2"/>
      <c r="S89" s="2"/>
    </row>
    <row r="90" spans="1:19" hidden="1">
      <c r="A90" s="152"/>
      <c r="B90" s="149"/>
      <c r="C90" s="154"/>
      <c r="D90" s="148"/>
      <c r="E90" s="737"/>
      <c r="F90" s="847"/>
      <c r="G90" s="738"/>
      <c r="H90" s="2"/>
      <c r="I90" s="2"/>
      <c r="J90" s="2"/>
      <c r="K90" s="2"/>
      <c r="L90" s="2"/>
      <c r="M90" s="2"/>
      <c r="N90" s="2"/>
      <c r="O90" s="2"/>
      <c r="P90" s="2"/>
      <c r="Q90" s="2"/>
      <c r="R90" s="2"/>
      <c r="S90" s="2"/>
    </row>
    <row r="91" spans="1:19" hidden="1">
      <c r="A91" s="153"/>
      <c r="B91" s="143" t="s">
        <v>88</v>
      </c>
      <c r="C91" s="154"/>
      <c r="D91" s="148"/>
      <c r="E91" s="737"/>
      <c r="F91" s="847"/>
      <c r="G91" s="738"/>
      <c r="H91" s="2"/>
      <c r="I91" s="2"/>
      <c r="J91" s="2"/>
      <c r="K91" s="2"/>
      <c r="L91" s="2"/>
      <c r="M91" s="2"/>
      <c r="N91" s="2"/>
      <c r="O91" s="2"/>
      <c r="P91" s="2"/>
      <c r="Q91" s="2"/>
      <c r="R91" s="2"/>
      <c r="S91" s="2"/>
    </row>
    <row r="92" spans="1:19" ht="13.5" hidden="1" customHeight="1">
      <c r="A92" s="152" t="s">
        <v>119</v>
      </c>
      <c r="B92" s="149" t="s">
        <v>73</v>
      </c>
      <c r="C92" s="154"/>
      <c r="D92" s="743"/>
      <c r="E92" s="737"/>
      <c r="F92" s="847"/>
      <c r="G92" s="738"/>
      <c r="H92" s="2"/>
      <c r="I92" s="2"/>
      <c r="J92" s="2"/>
      <c r="K92" s="2"/>
      <c r="L92" s="2"/>
      <c r="M92" s="2"/>
      <c r="N92" s="2"/>
      <c r="O92" s="2"/>
      <c r="P92" s="2"/>
      <c r="Q92" s="2"/>
      <c r="R92" s="2"/>
      <c r="S92" s="2"/>
    </row>
    <row r="93" spans="1:19" hidden="1">
      <c r="A93" s="152" t="s">
        <v>90</v>
      </c>
      <c r="B93" s="149" t="s">
        <v>94</v>
      </c>
      <c r="C93" s="154" t="s">
        <v>92</v>
      </c>
      <c r="D93" s="743">
        <v>674.66666666666674</v>
      </c>
      <c r="E93" s="737">
        <v>29.5</v>
      </c>
      <c r="F93" s="847"/>
      <c r="G93" s="738">
        <v>19902.666666666668</v>
      </c>
      <c r="H93" s="2"/>
      <c r="I93" s="2"/>
      <c r="J93" s="2"/>
      <c r="K93" s="2"/>
      <c r="L93" s="2"/>
      <c r="M93" s="2"/>
      <c r="N93" s="2"/>
      <c r="O93" s="2"/>
      <c r="P93" s="2"/>
      <c r="Q93" s="2"/>
      <c r="R93" s="2"/>
      <c r="S93" s="2"/>
    </row>
    <row r="94" spans="1:19" hidden="1">
      <c r="A94" s="152" t="s">
        <v>95</v>
      </c>
      <c r="B94" s="149" t="s">
        <v>96</v>
      </c>
      <c r="C94" s="154" t="s">
        <v>92</v>
      </c>
      <c r="D94" s="743">
        <v>280.34844444444434</v>
      </c>
      <c r="E94" s="737">
        <v>29.5</v>
      </c>
      <c r="F94" s="847"/>
      <c r="G94" s="738">
        <v>8270.2791111111073</v>
      </c>
      <c r="H94" s="2"/>
      <c r="I94" s="2"/>
      <c r="J94" s="2"/>
      <c r="K94" s="2"/>
      <c r="L94" s="2"/>
      <c r="M94" s="2"/>
      <c r="N94" s="2"/>
      <c r="O94" s="2"/>
      <c r="P94" s="2"/>
      <c r="Q94" s="2"/>
      <c r="R94" s="2"/>
      <c r="S94" s="2"/>
    </row>
    <row r="95" spans="1:19" hidden="1">
      <c r="A95" s="152" t="s">
        <v>97</v>
      </c>
      <c r="B95" s="149" t="s">
        <v>100</v>
      </c>
      <c r="C95" s="154" t="s">
        <v>92</v>
      </c>
      <c r="D95" s="743">
        <v>124.71111111111109</v>
      </c>
      <c r="E95" s="737">
        <v>29.5</v>
      </c>
      <c r="F95" s="847"/>
      <c r="G95" s="738">
        <v>3678.9777777777772</v>
      </c>
      <c r="H95" s="2"/>
      <c r="I95" s="2"/>
      <c r="J95" s="2"/>
      <c r="K95" s="2"/>
      <c r="L95" s="2"/>
      <c r="M95" s="2"/>
      <c r="N95" s="2"/>
      <c r="O95" s="2"/>
      <c r="P95" s="2"/>
      <c r="Q95" s="2"/>
      <c r="R95" s="2"/>
      <c r="S95" s="2"/>
    </row>
    <row r="96" spans="1:19" ht="13.5" hidden="1" customHeight="1">
      <c r="A96" s="152" t="s">
        <v>120</v>
      </c>
      <c r="B96" s="149" t="s">
        <v>108</v>
      </c>
      <c r="C96" s="154"/>
      <c r="D96" s="743"/>
      <c r="E96" s="737"/>
      <c r="F96" s="847"/>
      <c r="G96" s="738"/>
      <c r="H96" s="2"/>
      <c r="I96" s="2"/>
      <c r="J96" s="2"/>
      <c r="K96" s="2"/>
      <c r="L96" s="2"/>
      <c r="M96" s="2"/>
      <c r="N96" s="2"/>
      <c r="O96" s="2"/>
      <c r="P96" s="2"/>
      <c r="Q96" s="2"/>
      <c r="R96" s="2"/>
      <c r="S96" s="2"/>
    </row>
    <row r="97" spans="1:19" hidden="1">
      <c r="A97" s="152" t="s">
        <v>90</v>
      </c>
      <c r="B97" s="149" t="s">
        <v>96</v>
      </c>
      <c r="C97" s="154" t="s">
        <v>92</v>
      </c>
      <c r="D97" s="743">
        <v>912</v>
      </c>
      <c r="E97" s="737">
        <v>29.5</v>
      </c>
      <c r="F97" s="847"/>
      <c r="G97" s="738">
        <v>26904</v>
      </c>
      <c r="H97" s="2"/>
      <c r="I97" s="2"/>
      <c r="J97" s="2"/>
      <c r="K97" s="2"/>
      <c r="L97" s="2"/>
      <c r="M97" s="2"/>
      <c r="N97" s="2"/>
      <c r="O97" s="2"/>
      <c r="P97" s="2"/>
      <c r="Q97" s="2"/>
      <c r="R97" s="2"/>
      <c r="S97" s="2"/>
    </row>
    <row r="98" spans="1:19" hidden="1">
      <c r="A98" s="152" t="s">
        <v>97</v>
      </c>
      <c r="B98" s="149" t="s">
        <v>100</v>
      </c>
      <c r="C98" s="154" t="s">
        <v>92</v>
      </c>
      <c r="D98" s="743">
        <v>173</v>
      </c>
      <c r="E98" s="737">
        <v>29.5</v>
      </c>
      <c r="F98" s="847"/>
      <c r="G98" s="738">
        <v>5103.5</v>
      </c>
      <c r="H98" s="2"/>
      <c r="I98" s="2"/>
      <c r="J98" s="2"/>
      <c r="K98" s="2"/>
      <c r="L98" s="2"/>
      <c r="M98" s="2"/>
      <c r="N98" s="2"/>
      <c r="O98" s="2"/>
      <c r="P98" s="2"/>
      <c r="Q98" s="2"/>
      <c r="R98" s="2"/>
      <c r="S98" s="2"/>
    </row>
    <row r="99" spans="1:19" ht="13.5" hidden="1" customHeight="1">
      <c r="A99" s="152" t="s">
        <v>121</v>
      </c>
      <c r="B99" s="149" t="s">
        <v>110</v>
      </c>
      <c r="C99" s="154"/>
      <c r="D99" s="743"/>
      <c r="E99" s="737"/>
      <c r="F99" s="847"/>
      <c r="G99" s="738"/>
      <c r="H99" s="2"/>
      <c r="I99" s="2"/>
      <c r="J99" s="2"/>
      <c r="K99" s="2"/>
      <c r="L99" s="2"/>
      <c r="M99" s="2"/>
      <c r="N99" s="2"/>
      <c r="O99" s="2"/>
      <c r="P99" s="2"/>
      <c r="Q99" s="2"/>
      <c r="R99" s="2"/>
      <c r="S99" s="2"/>
    </row>
    <row r="100" spans="1:19" hidden="1">
      <c r="A100" s="152" t="s">
        <v>90</v>
      </c>
      <c r="B100" s="149" t="s">
        <v>98</v>
      </c>
      <c r="C100" s="154" t="s">
        <v>92</v>
      </c>
      <c r="D100" s="743">
        <v>2792.2974485596701</v>
      </c>
      <c r="E100" s="737">
        <v>29.5</v>
      </c>
      <c r="F100" s="847"/>
      <c r="G100" s="738">
        <v>82372.774732510268</v>
      </c>
      <c r="H100" s="2"/>
      <c r="I100" s="2"/>
      <c r="J100" s="2"/>
      <c r="K100" s="2"/>
      <c r="L100" s="2"/>
      <c r="M100" s="2"/>
      <c r="N100" s="2"/>
      <c r="O100" s="2"/>
      <c r="P100" s="2"/>
      <c r="Q100" s="2"/>
      <c r="R100" s="2"/>
      <c r="S100" s="2"/>
    </row>
    <row r="101" spans="1:19" ht="13.5" hidden="1" customHeight="1">
      <c r="A101" s="152" t="s">
        <v>122</v>
      </c>
      <c r="B101" s="149" t="s">
        <v>75</v>
      </c>
      <c r="C101" s="154"/>
      <c r="D101" s="743"/>
      <c r="E101" s="737"/>
      <c r="F101" s="847"/>
      <c r="G101" s="738"/>
      <c r="H101" s="2"/>
      <c r="I101" s="2"/>
      <c r="J101" s="2"/>
      <c r="K101" s="2"/>
      <c r="L101" s="2"/>
      <c r="M101" s="2"/>
      <c r="N101" s="2"/>
      <c r="O101" s="2"/>
      <c r="P101" s="2"/>
      <c r="Q101" s="2"/>
      <c r="R101" s="2"/>
      <c r="S101" s="2"/>
    </row>
    <row r="102" spans="1:19" hidden="1">
      <c r="A102" s="152" t="s">
        <v>90</v>
      </c>
      <c r="B102" s="149" t="s">
        <v>91</v>
      </c>
      <c r="C102" s="154" t="s">
        <v>92</v>
      </c>
      <c r="D102" s="743">
        <v>168.59538666666666</v>
      </c>
      <c r="E102" s="737">
        <v>29.5</v>
      </c>
      <c r="F102" s="847"/>
      <c r="G102" s="738">
        <v>4973.5639066666663</v>
      </c>
      <c r="H102" s="2"/>
      <c r="I102" s="2"/>
      <c r="J102" s="2"/>
      <c r="K102" s="2"/>
      <c r="L102" s="2"/>
      <c r="M102" s="2"/>
      <c r="N102" s="2"/>
      <c r="O102" s="2"/>
      <c r="P102" s="2"/>
      <c r="Q102" s="2"/>
      <c r="R102" s="2"/>
      <c r="S102" s="2"/>
    </row>
    <row r="103" spans="1:19" hidden="1">
      <c r="A103" s="152" t="s">
        <v>95</v>
      </c>
      <c r="B103" s="149" t="s">
        <v>98</v>
      </c>
      <c r="C103" s="154" t="s">
        <v>92</v>
      </c>
      <c r="D103" s="743">
        <v>50.36574074074074</v>
      </c>
      <c r="E103" s="737">
        <v>29.5</v>
      </c>
      <c r="F103" s="847"/>
      <c r="G103" s="738">
        <v>1485.7893518518517</v>
      </c>
      <c r="H103" s="2"/>
      <c r="I103" s="2"/>
      <c r="J103" s="2"/>
      <c r="K103" s="2"/>
      <c r="L103" s="2"/>
      <c r="M103" s="2"/>
      <c r="N103" s="2"/>
      <c r="O103" s="2"/>
      <c r="P103" s="2"/>
      <c r="Q103" s="2"/>
      <c r="R103" s="2"/>
      <c r="S103" s="2"/>
    </row>
    <row r="104" spans="1:19" ht="13.5" hidden="1" customHeight="1">
      <c r="A104" s="152" t="s">
        <v>123</v>
      </c>
      <c r="B104" s="149" t="s">
        <v>113</v>
      </c>
      <c r="C104" s="154"/>
      <c r="D104" s="743"/>
      <c r="E104" s="737"/>
      <c r="F104" s="847"/>
      <c r="G104" s="738"/>
      <c r="H104" s="2"/>
      <c r="I104" s="2"/>
      <c r="J104" s="2"/>
      <c r="K104" s="2"/>
      <c r="L104" s="2"/>
      <c r="M104" s="2"/>
      <c r="N104" s="2"/>
      <c r="O104" s="2"/>
      <c r="P104" s="2"/>
      <c r="Q104" s="2"/>
      <c r="R104" s="2"/>
      <c r="S104" s="2"/>
    </row>
    <row r="105" spans="1:19" hidden="1">
      <c r="A105" s="152" t="s">
        <v>90</v>
      </c>
      <c r="B105" s="149" t="s">
        <v>98</v>
      </c>
      <c r="C105" s="154" t="s">
        <v>92</v>
      </c>
      <c r="D105" s="743">
        <v>190</v>
      </c>
      <c r="E105" s="737">
        <v>29.5</v>
      </c>
      <c r="F105" s="847"/>
      <c r="G105" s="738">
        <v>5605</v>
      </c>
      <c r="H105" s="2"/>
      <c r="I105" s="2"/>
      <c r="J105" s="2"/>
      <c r="K105" s="2"/>
      <c r="L105" s="2"/>
      <c r="M105" s="2"/>
      <c r="N105" s="2"/>
      <c r="O105" s="2"/>
      <c r="P105" s="2"/>
      <c r="Q105" s="2"/>
      <c r="R105" s="2"/>
      <c r="S105" s="2"/>
    </row>
    <row r="106" spans="1:19" hidden="1">
      <c r="A106" s="152"/>
      <c r="B106" s="149"/>
      <c r="C106" s="154"/>
      <c r="D106" s="148"/>
      <c r="E106" s="737"/>
      <c r="F106" s="847"/>
      <c r="G106" s="738"/>
      <c r="H106" s="2"/>
      <c r="I106" s="2"/>
      <c r="J106" s="2"/>
      <c r="K106" s="2"/>
      <c r="L106" s="2"/>
      <c r="M106" s="2"/>
      <c r="N106" s="2"/>
      <c r="O106" s="2"/>
      <c r="P106" s="2"/>
      <c r="Q106" s="2"/>
      <c r="R106" s="2"/>
      <c r="S106" s="2"/>
    </row>
    <row r="107" spans="1:19" hidden="1">
      <c r="A107" s="150">
        <v>3.4</v>
      </c>
      <c r="B107" s="151" t="s">
        <v>124</v>
      </c>
      <c r="C107" s="743"/>
      <c r="D107" s="680"/>
      <c r="E107" s="678"/>
      <c r="F107" s="849"/>
      <c r="G107" s="744"/>
      <c r="H107" s="2"/>
      <c r="I107" s="2"/>
      <c r="J107" s="2"/>
      <c r="K107" s="2"/>
      <c r="L107" s="2"/>
      <c r="M107" s="2"/>
      <c r="N107" s="2"/>
      <c r="O107" s="2"/>
      <c r="P107" s="2"/>
      <c r="Q107" s="2"/>
      <c r="R107" s="2"/>
      <c r="S107" s="2"/>
    </row>
    <row r="108" spans="1:19" hidden="1">
      <c r="A108" s="152"/>
      <c r="B108" s="143" t="s">
        <v>105</v>
      </c>
      <c r="C108" s="148"/>
      <c r="D108" s="736"/>
      <c r="E108" s="737"/>
      <c r="F108" s="847"/>
      <c r="G108" s="738"/>
      <c r="H108" s="2"/>
      <c r="I108" s="2"/>
      <c r="J108" s="2"/>
      <c r="K108" s="2"/>
      <c r="L108" s="2"/>
      <c r="M108" s="2"/>
      <c r="N108" s="2"/>
      <c r="O108" s="2"/>
      <c r="P108" s="2"/>
      <c r="Q108" s="2"/>
      <c r="R108" s="2"/>
      <c r="S108" s="2"/>
    </row>
    <row r="109" spans="1:19" hidden="1">
      <c r="A109" s="152" t="s">
        <v>125</v>
      </c>
      <c r="B109" s="149" t="s">
        <v>73</v>
      </c>
      <c r="C109" s="169" t="s">
        <v>66</v>
      </c>
      <c r="D109" s="148" t="e">
        <v>#REF!</v>
      </c>
      <c r="E109" s="737">
        <v>5200</v>
      </c>
      <c r="F109" s="847"/>
      <c r="G109" s="738" t="e">
        <v>#REF!</v>
      </c>
      <c r="H109" s="2"/>
      <c r="I109" s="2"/>
      <c r="J109" s="2"/>
      <c r="K109" s="2"/>
      <c r="L109" s="2"/>
      <c r="M109" s="2"/>
      <c r="N109" s="2"/>
      <c r="O109" s="2"/>
      <c r="P109" s="2"/>
      <c r="Q109" s="2"/>
      <c r="R109" s="2"/>
      <c r="S109" s="2"/>
    </row>
    <row r="110" spans="1:19" hidden="1">
      <c r="A110" s="152" t="s">
        <v>126</v>
      </c>
      <c r="B110" s="149" t="s">
        <v>108</v>
      </c>
      <c r="C110" s="169" t="s">
        <v>66</v>
      </c>
      <c r="D110" s="148" t="e">
        <v>#REF!</v>
      </c>
      <c r="E110" s="737">
        <v>5200</v>
      </c>
      <c r="F110" s="847"/>
      <c r="G110" s="738" t="e">
        <v>#REF!</v>
      </c>
      <c r="H110" s="2"/>
      <c r="I110" s="2"/>
      <c r="J110" s="2"/>
      <c r="K110" s="2"/>
      <c r="L110" s="2"/>
      <c r="M110" s="2"/>
      <c r="N110" s="2"/>
      <c r="O110" s="2"/>
      <c r="P110" s="2"/>
      <c r="Q110" s="2"/>
      <c r="R110" s="2"/>
      <c r="S110" s="2"/>
    </row>
    <row r="111" spans="1:19" hidden="1">
      <c r="A111" s="152" t="s">
        <v>127</v>
      </c>
      <c r="B111" s="149" t="s">
        <v>110</v>
      </c>
      <c r="C111" s="169" t="s">
        <v>66</v>
      </c>
      <c r="D111" s="148" t="e">
        <v>#REF!</v>
      </c>
      <c r="E111" s="737">
        <v>5200</v>
      </c>
      <c r="F111" s="847"/>
      <c r="G111" s="738" t="e">
        <v>#REF!</v>
      </c>
      <c r="H111" s="2"/>
      <c r="I111" s="2"/>
      <c r="J111" s="2"/>
      <c r="K111" s="2"/>
      <c r="L111" s="2"/>
      <c r="M111" s="2"/>
      <c r="N111" s="2"/>
      <c r="O111" s="2"/>
      <c r="P111" s="2"/>
      <c r="Q111" s="2"/>
      <c r="R111" s="2"/>
      <c r="S111" s="2"/>
    </row>
    <row r="112" spans="1:19" hidden="1">
      <c r="A112" s="152" t="s">
        <v>128</v>
      </c>
      <c r="B112" s="149" t="s">
        <v>75</v>
      </c>
      <c r="C112" s="169" t="s">
        <v>66</v>
      </c>
      <c r="D112" s="148" t="e">
        <v>#REF!</v>
      </c>
      <c r="E112" s="737">
        <v>5200</v>
      </c>
      <c r="F112" s="847"/>
      <c r="G112" s="738" t="e">
        <v>#REF!</v>
      </c>
      <c r="H112" s="2"/>
      <c r="I112" s="2"/>
      <c r="J112" s="2"/>
      <c r="K112" s="2"/>
      <c r="L112" s="2"/>
      <c r="M112" s="2"/>
      <c r="N112" s="2"/>
      <c r="O112" s="2"/>
      <c r="P112" s="2"/>
      <c r="Q112" s="2"/>
      <c r="R112" s="2"/>
      <c r="S112" s="2"/>
    </row>
    <row r="113" spans="1:19" hidden="1">
      <c r="A113" s="152" t="s">
        <v>129</v>
      </c>
      <c r="B113" s="149" t="s">
        <v>113</v>
      </c>
      <c r="C113" s="169" t="s">
        <v>66</v>
      </c>
      <c r="D113" s="148" t="e">
        <v>#REF!</v>
      </c>
      <c r="E113" s="737">
        <v>5200</v>
      </c>
      <c r="F113" s="847"/>
      <c r="G113" s="738" t="e">
        <v>#REF!</v>
      </c>
      <c r="H113" s="2"/>
      <c r="I113" s="2"/>
      <c r="J113" s="2"/>
      <c r="K113" s="2"/>
      <c r="L113" s="2"/>
      <c r="M113" s="2"/>
      <c r="N113" s="2"/>
      <c r="O113" s="2"/>
      <c r="P113" s="2"/>
      <c r="Q113" s="2"/>
      <c r="R113" s="2"/>
      <c r="S113" s="2"/>
    </row>
    <row r="114" spans="1:19" hidden="1">
      <c r="A114" s="152" t="s">
        <v>130</v>
      </c>
      <c r="B114" s="149" t="s">
        <v>131</v>
      </c>
      <c r="C114" s="169" t="s">
        <v>66</v>
      </c>
      <c r="D114" s="148" t="e">
        <v>#REF!</v>
      </c>
      <c r="E114" s="737">
        <v>5200</v>
      </c>
      <c r="F114" s="847"/>
      <c r="G114" s="738" t="e">
        <v>#REF!</v>
      </c>
      <c r="H114" s="2"/>
      <c r="I114" s="2"/>
      <c r="J114" s="2"/>
      <c r="K114" s="2"/>
      <c r="L114" s="2"/>
      <c r="M114" s="2"/>
      <c r="N114" s="2"/>
      <c r="O114" s="2"/>
      <c r="P114" s="2"/>
      <c r="Q114" s="2"/>
      <c r="R114" s="2"/>
      <c r="S114" s="2"/>
    </row>
    <row r="115" spans="1:19" hidden="1">
      <c r="A115" s="152"/>
      <c r="B115" s="149"/>
      <c r="C115" s="154"/>
      <c r="D115" s="148"/>
      <c r="E115" s="737"/>
      <c r="F115" s="847"/>
      <c r="G115" s="738"/>
      <c r="H115" s="2"/>
      <c r="I115" s="2"/>
      <c r="J115" s="2"/>
      <c r="K115" s="2"/>
      <c r="L115" s="2"/>
      <c r="M115" s="2"/>
      <c r="N115" s="2"/>
      <c r="O115" s="2"/>
      <c r="P115" s="2"/>
      <c r="Q115" s="2"/>
      <c r="R115" s="2"/>
      <c r="S115" s="2"/>
    </row>
    <row r="116" spans="1:19" hidden="1">
      <c r="A116" s="152"/>
      <c r="B116" s="143" t="s">
        <v>80</v>
      </c>
      <c r="C116" s="148"/>
      <c r="D116" s="736"/>
      <c r="E116" s="737"/>
      <c r="F116" s="847"/>
      <c r="G116" s="738"/>
      <c r="H116" s="2"/>
      <c r="I116" s="2"/>
      <c r="J116" s="2"/>
      <c r="K116" s="2"/>
      <c r="L116" s="2"/>
      <c r="M116" s="2"/>
      <c r="N116" s="2"/>
      <c r="O116" s="2"/>
      <c r="P116" s="2"/>
      <c r="Q116" s="2"/>
      <c r="R116" s="2"/>
      <c r="S116" s="2"/>
    </row>
    <row r="117" spans="1:19" hidden="1">
      <c r="A117" s="152" t="s">
        <v>132</v>
      </c>
      <c r="B117" s="149" t="s">
        <v>73</v>
      </c>
      <c r="C117" s="154" t="s">
        <v>84</v>
      </c>
      <c r="D117" s="148" t="e">
        <v>#REF!</v>
      </c>
      <c r="E117" s="737">
        <v>320</v>
      </c>
      <c r="F117" s="847"/>
      <c r="G117" s="738" t="e">
        <v>#REF!</v>
      </c>
      <c r="H117" s="2"/>
      <c r="I117" s="2"/>
      <c r="J117" s="2"/>
      <c r="K117" s="2"/>
      <c r="L117" s="2"/>
      <c r="M117" s="2"/>
      <c r="N117" s="2"/>
      <c r="O117" s="2"/>
      <c r="P117" s="2"/>
      <c r="Q117" s="2"/>
      <c r="R117" s="2"/>
      <c r="S117" s="2"/>
    </row>
    <row r="118" spans="1:19" hidden="1">
      <c r="A118" s="152" t="s">
        <v>133</v>
      </c>
      <c r="B118" s="149" t="s">
        <v>108</v>
      </c>
      <c r="C118" s="154" t="s">
        <v>84</v>
      </c>
      <c r="D118" s="148" t="e">
        <v>#REF!</v>
      </c>
      <c r="E118" s="737">
        <v>320</v>
      </c>
      <c r="F118" s="847"/>
      <c r="G118" s="738" t="e">
        <v>#REF!</v>
      </c>
      <c r="H118" s="2"/>
      <c r="I118" s="2"/>
      <c r="J118" s="2"/>
      <c r="K118" s="2"/>
      <c r="L118" s="2"/>
      <c r="M118" s="2"/>
      <c r="N118" s="2"/>
      <c r="O118" s="2"/>
      <c r="P118" s="2"/>
      <c r="Q118" s="2"/>
      <c r="R118" s="2"/>
      <c r="S118" s="2"/>
    </row>
    <row r="119" spans="1:19" hidden="1">
      <c r="A119" s="152" t="s">
        <v>134</v>
      </c>
      <c r="B119" s="149" t="s">
        <v>110</v>
      </c>
      <c r="C119" s="154" t="s">
        <v>84</v>
      </c>
      <c r="D119" s="148" t="e">
        <v>#REF!</v>
      </c>
      <c r="E119" s="737">
        <v>320</v>
      </c>
      <c r="F119" s="847"/>
      <c r="G119" s="738" t="e">
        <v>#REF!</v>
      </c>
      <c r="H119" s="2"/>
      <c r="I119" s="2"/>
      <c r="J119" s="2"/>
      <c r="K119" s="2"/>
      <c r="L119" s="2"/>
      <c r="M119" s="2"/>
      <c r="N119" s="2"/>
      <c r="O119" s="2"/>
      <c r="P119" s="2"/>
      <c r="Q119" s="2"/>
      <c r="R119" s="2"/>
      <c r="S119" s="2"/>
    </row>
    <row r="120" spans="1:19" hidden="1">
      <c r="A120" s="152" t="s">
        <v>135</v>
      </c>
      <c r="B120" s="149" t="s">
        <v>75</v>
      </c>
      <c r="C120" s="154" t="s">
        <v>84</v>
      </c>
      <c r="D120" s="148" t="e">
        <v>#REF!</v>
      </c>
      <c r="E120" s="737">
        <v>320</v>
      </c>
      <c r="F120" s="847"/>
      <c r="G120" s="738" t="e">
        <v>#REF!</v>
      </c>
      <c r="H120" s="2"/>
      <c r="I120" s="2"/>
      <c r="J120" s="2"/>
      <c r="K120" s="2"/>
      <c r="L120" s="2"/>
      <c r="M120" s="2"/>
      <c r="N120" s="2"/>
      <c r="O120" s="2"/>
      <c r="P120" s="2"/>
      <c r="Q120" s="2"/>
      <c r="R120" s="2"/>
      <c r="S120" s="2"/>
    </row>
    <row r="121" spans="1:19" hidden="1">
      <c r="A121" s="152" t="s">
        <v>136</v>
      </c>
      <c r="B121" s="149" t="s">
        <v>113</v>
      </c>
      <c r="C121" s="154" t="s">
        <v>84</v>
      </c>
      <c r="D121" s="148">
        <v>12</v>
      </c>
      <c r="E121" s="737">
        <v>320</v>
      </c>
      <c r="F121" s="847"/>
      <c r="G121" s="738">
        <v>3840</v>
      </c>
      <c r="H121" s="2"/>
      <c r="I121" s="2"/>
      <c r="J121" s="2"/>
      <c r="K121" s="2"/>
      <c r="L121" s="2"/>
      <c r="M121" s="2"/>
      <c r="N121" s="2"/>
      <c r="O121" s="2"/>
      <c r="P121" s="2"/>
      <c r="Q121" s="2"/>
      <c r="R121" s="2"/>
      <c r="S121" s="2"/>
    </row>
    <row r="122" spans="1:19" hidden="1">
      <c r="A122" s="152" t="s">
        <v>137</v>
      </c>
      <c r="B122" s="149" t="s">
        <v>131</v>
      </c>
      <c r="C122" s="154" t="s">
        <v>84</v>
      </c>
      <c r="D122" s="148" t="e">
        <v>#REF!</v>
      </c>
      <c r="E122" s="737">
        <v>320</v>
      </c>
      <c r="F122" s="847"/>
      <c r="G122" s="738" t="e">
        <v>#REF!</v>
      </c>
      <c r="H122" s="2"/>
      <c r="I122" s="2"/>
      <c r="J122" s="2"/>
      <c r="K122" s="2"/>
      <c r="L122" s="2"/>
      <c r="M122" s="2"/>
      <c r="N122" s="2"/>
      <c r="O122" s="2"/>
      <c r="P122" s="2"/>
      <c r="Q122" s="2"/>
      <c r="R122" s="2"/>
      <c r="S122" s="2"/>
    </row>
    <row r="123" spans="1:19" hidden="1">
      <c r="A123" s="152"/>
      <c r="B123" s="149"/>
      <c r="C123" s="154"/>
      <c r="D123" s="148"/>
      <c r="E123" s="737"/>
      <c r="F123" s="847"/>
      <c r="G123" s="738"/>
      <c r="H123" s="2"/>
      <c r="I123" s="2"/>
      <c r="J123" s="2"/>
      <c r="K123" s="2"/>
      <c r="L123" s="2"/>
      <c r="M123" s="2"/>
      <c r="N123" s="2"/>
      <c r="O123" s="2"/>
      <c r="P123" s="2"/>
      <c r="Q123" s="2"/>
      <c r="R123" s="2"/>
      <c r="S123" s="2"/>
    </row>
    <row r="124" spans="1:19" hidden="1">
      <c r="A124" s="153"/>
      <c r="B124" s="143" t="s">
        <v>88</v>
      </c>
      <c r="C124" s="154"/>
      <c r="D124" s="148"/>
      <c r="E124" s="737"/>
      <c r="F124" s="847"/>
      <c r="G124" s="738"/>
      <c r="H124" s="2"/>
      <c r="I124" s="2"/>
      <c r="J124" s="2"/>
      <c r="K124" s="2"/>
      <c r="L124" s="2"/>
      <c r="M124" s="2"/>
      <c r="N124" s="2"/>
      <c r="O124" s="2"/>
      <c r="P124" s="2"/>
      <c r="Q124" s="2"/>
      <c r="R124" s="2"/>
      <c r="S124" s="2"/>
    </row>
    <row r="125" spans="1:19" ht="13.5" hidden="1" customHeight="1">
      <c r="A125" s="152" t="s">
        <v>138</v>
      </c>
      <c r="B125" s="149" t="s">
        <v>73</v>
      </c>
      <c r="C125" s="154"/>
      <c r="D125" s="743"/>
      <c r="E125" s="737"/>
      <c r="F125" s="847"/>
      <c r="G125" s="738"/>
      <c r="H125" s="2"/>
      <c r="I125" s="2"/>
      <c r="J125" s="2"/>
      <c r="K125" s="2"/>
      <c r="L125" s="2"/>
      <c r="M125" s="2"/>
      <c r="N125" s="2"/>
      <c r="O125" s="2"/>
      <c r="P125" s="2"/>
      <c r="Q125" s="2"/>
      <c r="R125" s="2"/>
      <c r="S125" s="2"/>
    </row>
    <row r="126" spans="1:19" hidden="1">
      <c r="A126" s="152" t="s">
        <v>90</v>
      </c>
      <c r="B126" s="149" t="s">
        <v>94</v>
      </c>
      <c r="C126" s="154" t="s">
        <v>92</v>
      </c>
      <c r="D126" s="743">
        <v>545.18518518518511</v>
      </c>
      <c r="E126" s="737">
        <v>29.5</v>
      </c>
      <c r="F126" s="847"/>
      <c r="G126" s="738">
        <v>16082.96296296296</v>
      </c>
      <c r="H126" s="2"/>
      <c r="I126" s="2"/>
      <c r="J126" s="2"/>
      <c r="K126" s="2"/>
      <c r="L126" s="2"/>
      <c r="M126" s="2"/>
      <c r="N126" s="2"/>
      <c r="O126" s="2"/>
      <c r="P126" s="2"/>
      <c r="Q126" s="2"/>
      <c r="R126" s="2"/>
      <c r="S126" s="2"/>
    </row>
    <row r="127" spans="1:19" hidden="1">
      <c r="A127" s="152" t="s">
        <v>95</v>
      </c>
      <c r="B127" s="149" t="s">
        <v>96</v>
      </c>
      <c r="C127" s="154" t="s">
        <v>92</v>
      </c>
      <c r="D127" s="743">
        <v>254.86222222222221</v>
      </c>
      <c r="E127" s="737">
        <v>29.5</v>
      </c>
      <c r="F127" s="847"/>
      <c r="G127" s="738">
        <v>7518.4355555555558</v>
      </c>
      <c r="H127" s="2"/>
      <c r="I127" s="2"/>
      <c r="J127" s="2"/>
      <c r="K127" s="2"/>
      <c r="L127" s="2"/>
      <c r="M127" s="2"/>
      <c r="N127" s="2"/>
      <c r="O127" s="2"/>
      <c r="P127" s="2"/>
      <c r="Q127" s="2"/>
      <c r="R127" s="2"/>
      <c r="S127" s="2"/>
    </row>
    <row r="128" spans="1:19" hidden="1">
      <c r="A128" s="152" t="s">
        <v>97</v>
      </c>
      <c r="B128" s="149" t="s">
        <v>100</v>
      </c>
      <c r="C128" s="154" t="s">
        <v>92</v>
      </c>
      <c r="D128" s="743">
        <v>111.34666666666666</v>
      </c>
      <c r="E128" s="737">
        <v>29.5</v>
      </c>
      <c r="F128" s="847"/>
      <c r="G128" s="738">
        <v>3284.7266666666665</v>
      </c>
      <c r="H128" s="2"/>
      <c r="I128" s="2"/>
      <c r="J128" s="2"/>
      <c r="K128" s="2"/>
      <c r="L128" s="2"/>
      <c r="M128" s="2"/>
      <c r="N128" s="2"/>
      <c r="O128" s="2"/>
      <c r="P128" s="2"/>
      <c r="Q128" s="2"/>
      <c r="R128" s="2"/>
      <c r="S128" s="2"/>
    </row>
    <row r="129" spans="1:19" ht="13.5" hidden="1" customHeight="1">
      <c r="A129" s="152" t="s">
        <v>139</v>
      </c>
      <c r="B129" s="149" t="s">
        <v>108</v>
      </c>
      <c r="C129" s="154"/>
      <c r="D129" s="743"/>
      <c r="E129" s="737"/>
      <c r="F129" s="847"/>
      <c r="G129" s="738"/>
      <c r="H129" s="2"/>
      <c r="I129" s="2"/>
      <c r="J129" s="2"/>
      <c r="K129" s="2"/>
      <c r="L129" s="2"/>
      <c r="M129" s="2"/>
      <c r="N129" s="2"/>
      <c r="O129" s="2"/>
      <c r="P129" s="2"/>
      <c r="Q129" s="2"/>
      <c r="R129" s="2"/>
      <c r="S129" s="2"/>
    </row>
    <row r="130" spans="1:19" hidden="1">
      <c r="A130" s="152" t="s">
        <v>90</v>
      </c>
      <c r="B130" s="149" t="s">
        <v>96</v>
      </c>
      <c r="C130" s="154" t="s">
        <v>92</v>
      </c>
      <c r="D130" s="743">
        <v>988.51599802469138</v>
      </c>
      <c r="E130" s="737">
        <v>29.5</v>
      </c>
      <c r="F130" s="847"/>
      <c r="G130" s="738">
        <v>29161.221941728396</v>
      </c>
      <c r="H130" s="2"/>
      <c r="I130" s="2"/>
      <c r="J130" s="2"/>
      <c r="K130" s="2"/>
      <c r="L130" s="2"/>
      <c r="M130" s="2"/>
      <c r="N130" s="2"/>
      <c r="O130" s="2"/>
      <c r="P130" s="2"/>
      <c r="Q130" s="2"/>
      <c r="R130" s="2"/>
      <c r="S130" s="2"/>
    </row>
    <row r="131" spans="1:19" hidden="1">
      <c r="A131" s="593" t="s">
        <v>95</v>
      </c>
      <c r="B131" s="189" t="s">
        <v>100</v>
      </c>
      <c r="C131" s="647" t="s">
        <v>92</v>
      </c>
      <c r="D131" s="747">
        <v>197.89961481481484</v>
      </c>
      <c r="E131" s="748">
        <v>29.5</v>
      </c>
      <c r="F131" s="850"/>
      <c r="G131" s="749">
        <v>5838.0386370370379</v>
      </c>
      <c r="H131" s="2"/>
      <c r="I131" s="2"/>
      <c r="J131" s="2"/>
      <c r="K131" s="2"/>
      <c r="L131" s="2"/>
      <c r="M131" s="2"/>
      <c r="N131" s="2"/>
      <c r="O131" s="2"/>
      <c r="P131" s="2"/>
      <c r="Q131" s="2"/>
      <c r="R131" s="2"/>
      <c r="S131" s="2"/>
    </row>
    <row r="132" spans="1:19" ht="13.5" hidden="1" customHeight="1">
      <c r="A132" s="152" t="s">
        <v>140</v>
      </c>
      <c r="B132" s="149" t="s">
        <v>110</v>
      </c>
      <c r="C132" s="154"/>
      <c r="D132" s="743"/>
      <c r="E132" s="737"/>
      <c r="F132" s="847"/>
      <c r="G132" s="738"/>
      <c r="H132" s="2"/>
      <c r="I132" s="2"/>
      <c r="J132" s="2"/>
      <c r="K132" s="2"/>
      <c r="L132" s="2"/>
      <c r="M132" s="2"/>
      <c r="N132" s="2"/>
      <c r="O132" s="2"/>
      <c r="P132" s="2"/>
      <c r="Q132" s="2"/>
      <c r="R132" s="2"/>
      <c r="S132" s="2"/>
    </row>
    <row r="133" spans="1:19" hidden="1">
      <c r="A133" s="152" t="s">
        <v>90</v>
      </c>
      <c r="B133" s="149" t="s">
        <v>98</v>
      </c>
      <c r="C133" s="154" t="s">
        <v>92</v>
      </c>
      <c r="D133" s="743">
        <v>2792.2974485596701</v>
      </c>
      <c r="E133" s="737">
        <v>29.5</v>
      </c>
      <c r="F133" s="847"/>
      <c r="G133" s="738">
        <v>82372.774732510268</v>
      </c>
      <c r="H133" s="2"/>
      <c r="I133" s="2"/>
      <c r="J133" s="2"/>
      <c r="K133" s="2"/>
      <c r="L133" s="2"/>
      <c r="M133" s="2"/>
      <c r="N133" s="2"/>
      <c r="O133" s="2"/>
      <c r="P133" s="2"/>
      <c r="Q133" s="2"/>
      <c r="R133" s="2"/>
      <c r="S133" s="2"/>
    </row>
    <row r="134" spans="1:19" ht="13.5" hidden="1" customHeight="1">
      <c r="A134" s="152" t="s">
        <v>141</v>
      </c>
      <c r="B134" s="149" t="s">
        <v>75</v>
      </c>
      <c r="C134" s="154"/>
      <c r="D134" s="743"/>
      <c r="E134" s="737"/>
      <c r="F134" s="847"/>
      <c r="G134" s="738"/>
      <c r="H134" s="2"/>
      <c r="I134" s="2"/>
      <c r="J134" s="2"/>
      <c r="K134" s="2"/>
      <c r="L134" s="2"/>
      <c r="M134" s="2"/>
      <c r="N134" s="2"/>
      <c r="O134" s="2"/>
      <c r="P134" s="2"/>
      <c r="Q134" s="2"/>
      <c r="R134" s="2"/>
      <c r="S134" s="2"/>
    </row>
    <row r="135" spans="1:19" hidden="1">
      <c r="A135" s="152" t="s">
        <v>90</v>
      </c>
      <c r="B135" s="149" t="s">
        <v>91</v>
      </c>
      <c r="C135" s="154" t="s">
        <v>92</v>
      </c>
      <c r="D135" s="743">
        <v>153.26853333333332</v>
      </c>
      <c r="E135" s="737">
        <v>29.5</v>
      </c>
      <c r="F135" s="847"/>
      <c r="G135" s="738">
        <v>4521.4217333333327</v>
      </c>
      <c r="H135" s="2"/>
      <c r="I135" s="2"/>
      <c r="J135" s="2"/>
      <c r="K135" s="2"/>
      <c r="L135" s="2"/>
      <c r="M135" s="2"/>
      <c r="N135" s="2"/>
      <c r="O135" s="2"/>
      <c r="P135" s="2"/>
      <c r="Q135" s="2"/>
      <c r="R135" s="2"/>
      <c r="S135" s="2"/>
    </row>
    <row r="136" spans="1:19" hidden="1">
      <c r="A136" s="152" t="s">
        <v>95</v>
      </c>
      <c r="B136" s="149" t="s">
        <v>98</v>
      </c>
      <c r="C136" s="154" t="s">
        <v>92</v>
      </c>
      <c r="D136" s="743">
        <v>41.805555555555557</v>
      </c>
      <c r="E136" s="737">
        <v>29.5</v>
      </c>
      <c r="F136" s="847"/>
      <c r="G136" s="738">
        <v>1233.2638888888889</v>
      </c>
      <c r="H136" s="2"/>
      <c r="I136" s="2"/>
      <c r="J136" s="2"/>
      <c r="K136" s="2"/>
      <c r="L136" s="2"/>
      <c r="M136" s="2"/>
      <c r="N136" s="2"/>
      <c r="O136" s="2"/>
      <c r="P136" s="2"/>
      <c r="Q136" s="2"/>
      <c r="R136" s="2"/>
      <c r="S136" s="2"/>
    </row>
    <row r="137" spans="1:19" ht="13.5" hidden="1" customHeight="1">
      <c r="A137" s="152" t="s">
        <v>142</v>
      </c>
      <c r="B137" s="149" t="s">
        <v>113</v>
      </c>
      <c r="C137" s="154"/>
      <c r="D137" s="743"/>
      <c r="E137" s="737"/>
      <c r="F137" s="847"/>
      <c r="G137" s="738"/>
      <c r="H137" s="2"/>
      <c r="I137" s="2"/>
      <c r="J137" s="2"/>
      <c r="K137" s="2"/>
      <c r="L137" s="2"/>
      <c r="M137" s="2"/>
      <c r="N137" s="2"/>
      <c r="O137" s="2"/>
      <c r="P137" s="2"/>
      <c r="Q137" s="2"/>
      <c r="R137" s="2"/>
      <c r="S137" s="2"/>
    </row>
    <row r="138" spans="1:19" hidden="1">
      <c r="A138" s="152" t="s">
        <v>90</v>
      </c>
      <c r="B138" s="149" t="s">
        <v>98</v>
      </c>
      <c r="C138" s="154" t="s">
        <v>92</v>
      </c>
      <c r="D138" s="743">
        <v>180</v>
      </c>
      <c r="E138" s="737">
        <v>29.5</v>
      </c>
      <c r="F138" s="847"/>
      <c r="G138" s="738">
        <v>5310</v>
      </c>
      <c r="H138" s="2"/>
      <c r="I138" s="2"/>
      <c r="J138" s="2"/>
      <c r="K138" s="2"/>
      <c r="L138" s="2"/>
      <c r="M138" s="2"/>
      <c r="N138" s="2"/>
      <c r="O138" s="2"/>
      <c r="P138" s="2"/>
      <c r="Q138" s="2"/>
      <c r="R138" s="2"/>
      <c r="S138" s="2"/>
    </row>
    <row r="139" spans="1:19" ht="13.5" hidden="1" customHeight="1">
      <c r="A139" s="152" t="s">
        <v>143</v>
      </c>
      <c r="B139" s="149" t="s">
        <v>131</v>
      </c>
      <c r="C139" s="154"/>
      <c r="D139" s="743"/>
      <c r="E139" s="737"/>
      <c r="F139" s="847"/>
      <c r="G139" s="738"/>
      <c r="H139" s="2"/>
      <c r="I139" s="2"/>
      <c r="J139" s="2"/>
      <c r="K139" s="2"/>
      <c r="L139" s="2"/>
      <c r="M139" s="2"/>
      <c r="N139" s="2"/>
      <c r="O139" s="2"/>
      <c r="P139" s="2"/>
      <c r="Q139" s="2"/>
      <c r="R139" s="2"/>
      <c r="S139" s="2"/>
    </row>
    <row r="140" spans="1:19" hidden="1">
      <c r="A140" s="152" t="s">
        <v>90</v>
      </c>
      <c r="B140" s="149" t="s">
        <v>98</v>
      </c>
      <c r="C140" s="154" t="s">
        <v>92</v>
      </c>
      <c r="D140" s="743">
        <v>32.548611111111107</v>
      </c>
      <c r="E140" s="737">
        <v>29.5</v>
      </c>
      <c r="F140" s="847"/>
      <c r="G140" s="738">
        <v>960.18402777777771</v>
      </c>
      <c r="H140" s="2"/>
      <c r="I140" s="2"/>
      <c r="J140" s="2"/>
      <c r="K140" s="2"/>
      <c r="L140" s="2"/>
      <c r="M140" s="2"/>
      <c r="N140" s="2"/>
      <c r="O140" s="2"/>
      <c r="P140" s="2"/>
      <c r="Q140" s="2"/>
      <c r="R140" s="2"/>
      <c r="S140" s="2"/>
    </row>
    <row r="141" spans="1:19" hidden="1">
      <c r="A141" s="152"/>
      <c r="B141" s="149"/>
      <c r="C141" s="154"/>
      <c r="D141" s="148"/>
      <c r="E141" s="737"/>
      <c r="F141" s="847"/>
      <c r="G141" s="738"/>
      <c r="H141" s="2"/>
      <c r="I141" s="2"/>
      <c r="J141" s="2"/>
      <c r="K141" s="2"/>
      <c r="L141" s="2"/>
      <c r="M141" s="2"/>
      <c r="N141" s="2"/>
      <c r="O141" s="2"/>
      <c r="P141" s="2"/>
      <c r="Q141" s="2"/>
      <c r="R141" s="2"/>
      <c r="S141" s="2"/>
    </row>
    <row r="142" spans="1:19" hidden="1">
      <c r="A142" s="150">
        <v>3.5</v>
      </c>
      <c r="B142" s="151" t="s">
        <v>144</v>
      </c>
      <c r="C142" s="743"/>
      <c r="D142" s="680"/>
      <c r="E142" s="678"/>
      <c r="F142" s="849"/>
      <c r="G142" s="744"/>
      <c r="H142" s="2"/>
      <c r="I142" s="2"/>
      <c r="J142" s="2"/>
      <c r="K142" s="2"/>
      <c r="L142" s="2"/>
      <c r="M142" s="2"/>
      <c r="N142" s="2"/>
      <c r="O142" s="2"/>
      <c r="P142" s="2"/>
      <c r="Q142" s="2"/>
      <c r="R142" s="2"/>
      <c r="S142" s="2"/>
    </row>
    <row r="143" spans="1:19" hidden="1">
      <c r="A143" s="152"/>
      <c r="B143" s="143" t="s">
        <v>105</v>
      </c>
      <c r="C143" s="148"/>
      <c r="D143" s="736"/>
      <c r="E143" s="737"/>
      <c r="F143" s="847"/>
      <c r="G143" s="738"/>
      <c r="H143" s="2"/>
      <c r="I143" s="2"/>
      <c r="J143" s="2"/>
      <c r="K143" s="2"/>
      <c r="L143" s="2"/>
      <c r="M143" s="2"/>
      <c r="N143" s="2"/>
      <c r="O143" s="2"/>
      <c r="P143" s="2"/>
      <c r="Q143" s="2"/>
      <c r="R143" s="2"/>
      <c r="S143" s="2"/>
    </row>
    <row r="144" spans="1:19" hidden="1">
      <c r="A144" s="152" t="s">
        <v>145</v>
      </c>
      <c r="B144" s="149" t="s">
        <v>73</v>
      </c>
      <c r="C144" s="169" t="s">
        <v>66</v>
      </c>
      <c r="D144" s="148" t="e">
        <v>#REF!</v>
      </c>
      <c r="E144" s="737">
        <v>5200</v>
      </c>
      <c r="F144" s="847"/>
      <c r="G144" s="738" t="e">
        <v>#REF!</v>
      </c>
      <c r="H144" s="2"/>
      <c r="I144" s="2"/>
      <c r="J144" s="2"/>
      <c r="K144" s="2"/>
      <c r="L144" s="2"/>
      <c r="M144" s="2"/>
      <c r="N144" s="2"/>
      <c r="O144" s="2"/>
      <c r="P144" s="2"/>
      <c r="Q144" s="2"/>
      <c r="R144" s="2"/>
      <c r="S144" s="2"/>
    </row>
    <row r="145" spans="1:19" hidden="1">
      <c r="A145" s="152" t="s">
        <v>146</v>
      </c>
      <c r="B145" s="149" t="s">
        <v>108</v>
      </c>
      <c r="C145" s="169" t="s">
        <v>66</v>
      </c>
      <c r="D145" s="148" t="e">
        <v>#REF!</v>
      </c>
      <c r="E145" s="737">
        <v>5200</v>
      </c>
      <c r="F145" s="847"/>
      <c r="G145" s="738" t="e">
        <v>#REF!</v>
      </c>
      <c r="H145" s="2"/>
      <c r="I145" s="2"/>
      <c r="J145" s="2"/>
      <c r="K145" s="2"/>
      <c r="L145" s="2"/>
      <c r="M145" s="2"/>
      <c r="N145" s="2"/>
      <c r="O145" s="2"/>
      <c r="P145" s="2"/>
      <c r="Q145" s="2"/>
      <c r="R145" s="2"/>
      <c r="S145" s="2"/>
    </row>
    <row r="146" spans="1:19" hidden="1">
      <c r="A146" s="152" t="s">
        <v>147</v>
      </c>
      <c r="B146" s="149" t="s">
        <v>110</v>
      </c>
      <c r="C146" s="169" t="s">
        <v>66</v>
      </c>
      <c r="D146" s="148" t="e">
        <v>#REF!</v>
      </c>
      <c r="E146" s="737">
        <v>5200</v>
      </c>
      <c r="F146" s="847"/>
      <c r="G146" s="738" t="e">
        <v>#REF!</v>
      </c>
      <c r="H146" s="2"/>
      <c r="I146" s="2"/>
      <c r="J146" s="2"/>
      <c r="K146" s="2"/>
      <c r="L146" s="2"/>
      <c r="M146" s="2"/>
      <c r="N146" s="2"/>
      <c r="O146" s="2"/>
      <c r="P146" s="2"/>
      <c r="Q146" s="2"/>
      <c r="R146" s="2"/>
      <c r="S146" s="2"/>
    </row>
    <row r="147" spans="1:19" hidden="1">
      <c r="A147" s="152" t="s">
        <v>148</v>
      </c>
      <c r="B147" s="149" t="s">
        <v>75</v>
      </c>
      <c r="C147" s="169" t="s">
        <v>66</v>
      </c>
      <c r="D147" s="148" t="e">
        <v>#REF!</v>
      </c>
      <c r="E147" s="737">
        <v>5200</v>
      </c>
      <c r="F147" s="847"/>
      <c r="G147" s="738" t="e">
        <v>#REF!</v>
      </c>
      <c r="H147" s="2"/>
      <c r="I147" s="2"/>
      <c r="J147" s="2"/>
      <c r="K147" s="2"/>
      <c r="L147" s="2"/>
      <c r="M147" s="2"/>
      <c r="N147" s="2"/>
      <c r="O147" s="2"/>
      <c r="P147" s="2"/>
      <c r="Q147" s="2"/>
      <c r="R147" s="2"/>
      <c r="S147" s="2"/>
    </row>
    <row r="148" spans="1:19" hidden="1">
      <c r="A148" s="152" t="s">
        <v>149</v>
      </c>
      <c r="B148" s="149" t="s">
        <v>113</v>
      </c>
      <c r="C148" s="169" t="s">
        <v>66</v>
      </c>
      <c r="D148" s="148" t="e">
        <v>#REF!</v>
      </c>
      <c r="E148" s="737">
        <v>5200</v>
      </c>
      <c r="F148" s="847"/>
      <c r="G148" s="738" t="e">
        <v>#REF!</v>
      </c>
      <c r="H148" s="2"/>
      <c r="I148" s="2"/>
      <c r="J148" s="2"/>
      <c r="K148" s="2"/>
      <c r="L148" s="2"/>
      <c r="M148" s="2"/>
      <c r="N148" s="2"/>
      <c r="O148" s="2"/>
      <c r="P148" s="2"/>
      <c r="Q148" s="2"/>
      <c r="R148" s="2"/>
      <c r="S148" s="2"/>
    </row>
    <row r="149" spans="1:19" hidden="1">
      <c r="A149" s="152" t="s">
        <v>150</v>
      </c>
      <c r="B149" s="149" t="s">
        <v>131</v>
      </c>
      <c r="C149" s="169" t="s">
        <v>66</v>
      </c>
      <c r="D149" s="148" t="e">
        <v>#REF!</v>
      </c>
      <c r="E149" s="737">
        <v>5200</v>
      </c>
      <c r="F149" s="847"/>
      <c r="G149" s="738" t="e">
        <v>#REF!</v>
      </c>
      <c r="H149" s="2"/>
      <c r="I149" s="2"/>
      <c r="J149" s="2"/>
      <c r="K149" s="2"/>
      <c r="L149" s="2"/>
      <c r="M149" s="2"/>
      <c r="N149" s="2"/>
      <c r="O149" s="2"/>
      <c r="P149" s="2"/>
      <c r="Q149" s="2"/>
      <c r="R149" s="2"/>
      <c r="S149" s="2"/>
    </row>
    <row r="150" spans="1:19" hidden="1">
      <c r="A150" s="152"/>
      <c r="B150" s="149"/>
      <c r="C150" s="154"/>
      <c r="D150" s="148"/>
      <c r="E150" s="737"/>
      <c r="F150" s="847"/>
      <c r="G150" s="738"/>
      <c r="H150" s="2"/>
      <c r="I150" s="2"/>
      <c r="J150" s="2"/>
      <c r="K150" s="2"/>
      <c r="L150" s="2"/>
      <c r="M150" s="2"/>
      <c r="N150" s="2"/>
      <c r="O150" s="2"/>
      <c r="P150" s="2"/>
      <c r="Q150" s="2"/>
      <c r="R150" s="2"/>
      <c r="S150" s="2"/>
    </row>
    <row r="151" spans="1:19" hidden="1">
      <c r="A151" s="152"/>
      <c r="B151" s="143" t="s">
        <v>80</v>
      </c>
      <c r="C151" s="148"/>
      <c r="D151" s="736"/>
      <c r="E151" s="737"/>
      <c r="F151" s="847"/>
      <c r="G151" s="738"/>
      <c r="H151" s="2"/>
      <c r="I151" s="2"/>
      <c r="J151" s="2"/>
      <c r="K151" s="2"/>
      <c r="L151" s="2"/>
      <c r="M151" s="2"/>
      <c r="N151" s="2"/>
      <c r="O151" s="2"/>
      <c r="P151" s="2"/>
      <c r="Q151" s="2"/>
      <c r="R151" s="2"/>
      <c r="S151" s="2"/>
    </row>
    <row r="152" spans="1:19" hidden="1">
      <c r="A152" s="152" t="s">
        <v>151</v>
      </c>
      <c r="B152" s="149" t="s">
        <v>73</v>
      </c>
      <c r="C152" s="154" t="s">
        <v>84</v>
      </c>
      <c r="D152" s="148" t="e">
        <v>#REF!</v>
      </c>
      <c r="E152" s="737">
        <v>320</v>
      </c>
      <c r="F152" s="847"/>
      <c r="G152" s="738" t="e">
        <v>#REF!</v>
      </c>
      <c r="H152" s="2"/>
      <c r="I152" s="2"/>
      <c r="J152" s="2"/>
      <c r="K152" s="2"/>
      <c r="L152" s="2"/>
      <c r="M152" s="2"/>
      <c r="N152" s="2"/>
      <c r="O152" s="2"/>
      <c r="P152" s="2"/>
      <c r="Q152" s="2"/>
      <c r="R152" s="2"/>
      <c r="S152" s="2"/>
    </row>
    <row r="153" spans="1:19" hidden="1">
      <c r="A153" s="152" t="s">
        <v>152</v>
      </c>
      <c r="B153" s="149" t="s">
        <v>108</v>
      </c>
      <c r="C153" s="154" t="s">
        <v>84</v>
      </c>
      <c r="D153" s="148" t="e">
        <v>#REF!</v>
      </c>
      <c r="E153" s="737">
        <v>320</v>
      </c>
      <c r="F153" s="847"/>
      <c r="G153" s="738" t="e">
        <v>#REF!</v>
      </c>
      <c r="H153" s="2"/>
      <c r="I153" s="2"/>
      <c r="J153" s="2"/>
      <c r="K153" s="2"/>
      <c r="L153" s="2"/>
      <c r="M153" s="2"/>
      <c r="N153" s="2"/>
      <c r="O153" s="2"/>
      <c r="P153" s="2"/>
      <c r="Q153" s="2"/>
      <c r="R153" s="2"/>
      <c r="S153" s="2"/>
    </row>
    <row r="154" spans="1:19" hidden="1">
      <c r="A154" s="152" t="s">
        <v>153</v>
      </c>
      <c r="B154" s="149" t="s">
        <v>110</v>
      </c>
      <c r="C154" s="154" t="s">
        <v>84</v>
      </c>
      <c r="D154" s="148" t="e">
        <v>#REF!</v>
      </c>
      <c r="E154" s="737">
        <v>320</v>
      </c>
      <c r="F154" s="847"/>
      <c r="G154" s="738" t="e">
        <v>#REF!</v>
      </c>
      <c r="H154" s="2"/>
      <c r="I154" s="2"/>
      <c r="J154" s="2"/>
      <c r="K154" s="2"/>
      <c r="L154" s="2"/>
      <c r="M154" s="2"/>
      <c r="N154" s="2"/>
      <c r="O154" s="2"/>
      <c r="P154" s="2"/>
      <c r="Q154" s="2"/>
      <c r="R154" s="2"/>
      <c r="S154" s="2"/>
    </row>
    <row r="155" spans="1:19" hidden="1">
      <c r="A155" s="152" t="s">
        <v>154</v>
      </c>
      <c r="B155" s="149" t="s">
        <v>75</v>
      </c>
      <c r="C155" s="154" t="s">
        <v>84</v>
      </c>
      <c r="D155" s="148" t="e">
        <v>#REF!</v>
      </c>
      <c r="E155" s="737">
        <v>320</v>
      </c>
      <c r="F155" s="847"/>
      <c r="G155" s="738" t="e">
        <v>#REF!</v>
      </c>
      <c r="H155" s="2"/>
      <c r="I155" s="2"/>
      <c r="J155" s="2"/>
      <c r="K155" s="2"/>
      <c r="L155" s="2"/>
      <c r="M155" s="2"/>
      <c r="N155" s="2"/>
      <c r="O155" s="2"/>
      <c r="P155" s="2"/>
      <c r="Q155" s="2"/>
      <c r="R155" s="2"/>
      <c r="S155" s="2"/>
    </row>
    <row r="156" spans="1:19" hidden="1">
      <c r="A156" s="152" t="s">
        <v>155</v>
      </c>
      <c r="B156" s="149" t="s">
        <v>113</v>
      </c>
      <c r="C156" s="154" t="s">
        <v>84</v>
      </c>
      <c r="D156" s="148">
        <v>12</v>
      </c>
      <c r="E156" s="737">
        <v>320</v>
      </c>
      <c r="F156" s="847"/>
      <c r="G156" s="738">
        <v>3840</v>
      </c>
      <c r="H156" s="2"/>
      <c r="I156" s="2"/>
      <c r="J156" s="2"/>
      <c r="K156" s="2"/>
      <c r="L156" s="2"/>
      <c r="M156" s="2"/>
      <c r="N156" s="2"/>
      <c r="O156" s="2"/>
      <c r="P156" s="2"/>
      <c r="Q156" s="2"/>
      <c r="R156" s="2"/>
      <c r="S156" s="2"/>
    </row>
    <row r="157" spans="1:19" hidden="1">
      <c r="A157" s="152" t="s">
        <v>156</v>
      </c>
      <c r="B157" s="149" t="s">
        <v>131</v>
      </c>
      <c r="C157" s="154" t="s">
        <v>84</v>
      </c>
      <c r="D157" s="148" t="e">
        <v>#REF!</v>
      </c>
      <c r="E157" s="737">
        <v>320</v>
      </c>
      <c r="F157" s="847"/>
      <c r="G157" s="738" t="e">
        <v>#REF!</v>
      </c>
      <c r="H157" s="2"/>
      <c r="I157" s="2"/>
      <c r="J157" s="2"/>
      <c r="K157" s="2"/>
      <c r="L157" s="2"/>
      <c r="M157" s="2"/>
      <c r="N157" s="2"/>
      <c r="O157" s="2"/>
      <c r="P157" s="2"/>
      <c r="Q157" s="2"/>
      <c r="R157" s="2"/>
      <c r="S157" s="2"/>
    </row>
    <row r="158" spans="1:19" hidden="1">
      <c r="A158" s="152"/>
      <c r="B158" s="149"/>
      <c r="C158" s="154"/>
      <c r="D158" s="148"/>
      <c r="E158" s="737"/>
      <c r="F158" s="847"/>
      <c r="G158" s="738"/>
      <c r="H158" s="2"/>
      <c r="I158" s="2"/>
      <c r="J158" s="2"/>
      <c r="K158" s="2"/>
      <c r="L158" s="2"/>
      <c r="M158" s="2"/>
      <c r="N158" s="2"/>
      <c r="O158" s="2"/>
      <c r="P158" s="2"/>
      <c r="Q158" s="2"/>
      <c r="R158" s="2"/>
      <c r="S158" s="2"/>
    </row>
    <row r="159" spans="1:19" hidden="1">
      <c r="A159" s="153"/>
      <c r="B159" s="143" t="s">
        <v>88</v>
      </c>
      <c r="C159" s="154"/>
      <c r="D159" s="148"/>
      <c r="E159" s="737"/>
      <c r="F159" s="847"/>
      <c r="G159" s="738"/>
      <c r="H159" s="2"/>
      <c r="I159" s="2"/>
      <c r="J159" s="2"/>
      <c r="K159" s="2"/>
      <c r="L159" s="2"/>
      <c r="M159" s="2"/>
      <c r="N159" s="2"/>
      <c r="O159" s="2"/>
      <c r="P159" s="2"/>
      <c r="Q159" s="2"/>
      <c r="R159" s="2"/>
      <c r="S159" s="2"/>
    </row>
    <row r="160" spans="1:19" ht="13.5" hidden="1" customHeight="1">
      <c r="A160" s="152" t="s">
        <v>157</v>
      </c>
      <c r="B160" s="149" t="s">
        <v>73</v>
      </c>
      <c r="C160" s="154"/>
      <c r="D160" s="743"/>
      <c r="E160" s="737"/>
      <c r="F160" s="847"/>
      <c r="G160" s="738"/>
      <c r="H160" s="2"/>
      <c r="I160" s="2"/>
      <c r="J160" s="2"/>
      <c r="K160" s="2"/>
      <c r="L160" s="2"/>
      <c r="M160" s="2"/>
      <c r="N160" s="2"/>
      <c r="O160" s="2"/>
      <c r="P160" s="2"/>
      <c r="Q160" s="2"/>
      <c r="R160" s="2"/>
      <c r="S160" s="2"/>
    </row>
    <row r="161" spans="1:19" hidden="1">
      <c r="A161" s="152" t="s">
        <v>90</v>
      </c>
      <c r="B161" s="149" t="s">
        <v>94</v>
      </c>
      <c r="C161" s="154" t="s">
        <v>92</v>
      </c>
      <c r="D161" s="743">
        <v>545.18518518518511</v>
      </c>
      <c r="E161" s="737">
        <v>29.5</v>
      </c>
      <c r="F161" s="847"/>
      <c r="G161" s="738">
        <v>16082.96296296296</v>
      </c>
      <c r="H161" s="2"/>
      <c r="I161" s="2"/>
      <c r="J161" s="2"/>
      <c r="K161" s="2"/>
      <c r="L161" s="2"/>
      <c r="M161" s="2"/>
      <c r="N161" s="2"/>
      <c r="O161" s="2"/>
      <c r="P161" s="2"/>
      <c r="Q161" s="2"/>
      <c r="R161" s="2"/>
      <c r="S161" s="2"/>
    </row>
    <row r="162" spans="1:19" hidden="1">
      <c r="A162" s="152" t="s">
        <v>95</v>
      </c>
      <c r="B162" s="149" t="s">
        <v>96</v>
      </c>
      <c r="C162" s="154" t="s">
        <v>92</v>
      </c>
      <c r="D162" s="743">
        <v>254.86222222222221</v>
      </c>
      <c r="E162" s="737">
        <v>29.5</v>
      </c>
      <c r="F162" s="847"/>
      <c r="G162" s="738">
        <v>7518.4355555555558</v>
      </c>
      <c r="H162" s="2"/>
      <c r="I162" s="2"/>
      <c r="J162" s="2"/>
      <c r="K162" s="2"/>
      <c r="L162" s="2"/>
      <c r="M162" s="2"/>
      <c r="N162" s="2"/>
      <c r="O162" s="2"/>
      <c r="P162" s="2"/>
      <c r="Q162" s="2"/>
      <c r="R162" s="2"/>
      <c r="S162" s="2"/>
    </row>
    <row r="163" spans="1:19" hidden="1">
      <c r="A163" s="152" t="s">
        <v>97</v>
      </c>
      <c r="B163" s="149" t="s">
        <v>100</v>
      </c>
      <c r="C163" s="154" t="s">
        <v>92</v>
      </c>
      <c r="D163" s="743">
        <v>111.34666666666666</v>
      </c>
      <c r="E163" s="737">
        <v>29.5</v>
      </c>
      <c r="F163" s="847"/>
      <c r="G163" s="738">
        <v>3284.7266666666665</v>
      </c>
      <c r="H163" s="2"/>
      <c r="I163" s="2"/>
      <c r="J163" s="2"/>
      <c r="K163" s="2"/>
      <c r="L163" s="2"/>
      <c r="M163" s="2"/>
      <c r="N163" s="2"/>
      <c r="O163" s="2"/>
      <c r="P163" s="2"/>
      <c r="Q163" s="2"/>
      <c r="R163" s="2"/>
      <c r="S163" s="2"/>
    </row>
    <row r="164" spans="1:19" ht="13.5" hidden="1" customHeight="1">
      <c r="A164" s="152" t="s">
        <v>158</v>
      </c>
      <c r="B164" s="149" t="s">
        <v>108</v>
      </c>
      <c r="C164" s="154"/>
      <c r="D164" s="743"/>
      <c r="E164" s="737"/>
      <c r="F164" s="847"/>
      <c r="G164" s="738"/>
      <c r="H164" s="2"/>
      <c r="I164" s="2"/>
      <c r="J164" s="2"/>
      <c r="K164" s="2"/>
      <c r="L164" s="2"/>
      <c r="M164" s="2"/>
      <c r="N164" s="2"/>
      <c r="O164" s="2"/>
      <c r="P164" s="2"/>
      <c r="Q164" s="2"/>
      <c r="R164" s="2"/>
      <c r="S164" s="2"/>
    </row>
    <row r="165" spans="1:19" hidden="1">
      <c r="A165" s="152" t="s">
        <v>90</v>
      </c>
      <c r="B165" s="149" t="s">
        <v>96</v>
      </c>
      <c r="C165" s="154" t="s">
        <v>92</v>
      </c>
      <c r="D165" s="743">
        <v>988.51599802469138</v>
      </c>
      <c r="E165" s="737">
        <v>29.5</v>
      </c>
      <c r="F165" s="847"/>
      <c r="G165" s="738">
        <v>29161.221941728396</v>
      </c>
      <c r="H165" s="2"/>
      <c r="I165" s="2"/>
      <c r="J165" s="2"/>
      <c r="K165" s="2"/>
      <c r="L165" s="2"/>
      <c r="M165" s="2"/>
      <c r="N165" s="2"/>
      <c r="O165" s="2"/>
      <c r="P165" s="2"/>
      <c r="Q165" s="2"/>
      <c r="R165" s="2"/>
      <c r="S165" s="2"/>
    </row>
    <row r="166" spans="1:19" hidden="1">
      <c r="A166" s="152" t="s">
        <v>95</v>
      </c>
      <c r="B166" s="149" t="s">
        <v>100</v>
      </c>
      <c r="C166" s="154" t="s">
        <v>92</v>
      </c>
      <c r="D166" s="743">
        <v>197.89961481481484</v>
      </c>
      <c r="E166" s="737">
        <v>29.5</v>
      </c>
      <c r="F166" s="847"/>
      <c r="G166" s="738">
        <v>5838.0386370370379</v>
      </c>
      <c r="H166" s="2"/>
      <c r="I166" s="2"/>
      <c r="J166" s="2"/>
      <c r="K166" s="2"/>
      <c r="L166" s="2"/>
      <c r="M166" s="2"/>
      <c r="N166" s="2"/>
      <c r="O166" s="2"/>
      <c r="P166" s="2"/>
      <c r="Q166" s="2"/>
      <c r="R166" s="2"/>
      <c r="S166" s="2"/>
    </row>
    <row r="167" spans="1:19" ht="13.5" hidden="1" customHeight="1">
      <c r="A167" s="152" t="s">
        <v>159</v>
      </c>
      <c r="B167" s="149" t="s">
        <v>110</v>
      </c>
      <c r="C167" s="154"/>
      <c r="D167" s="743"/>
      <c r="E167" s="737"/>
      <c r="F167" s="847"/>
      <c r="G167" s="738"/>
      <c r="H167" s="2"/>
      <c r="I167" s="2"/>
      <c r="J167" s="2"/>
      <c r="K167" s="2"/>
      <c r="L167" s="2"/>
      <c r="M167" s="2"/>
      <c r="N167" s="2"/>
      <c r="O167" s="2"/>
      <c r="P167" s="2"/>
      <c r="Q167" s="2"/>
      <c r="R167" s="2"/>
      <c r="S167" s="2"/>
    </row>
    <row r="168" spans="1:19" hidden="1">
      <c r="A168" s="152" t="s">
        <v>90</v>
      </c>
      <c r="B168" s="149" t="s">
        <v>98</v>
      </c>
      <c r="C168" s="154" t="s">
        <v>92</v>
      </c>
      <c r="D168" s="743">
        <v>2792.2974485596701</v>
      </c>
      <c r="E168" s="737">
        <v>29.5</v>
      </c>
      <c r="F168" s="847"/>
      <c r="G168" s="738">
        <v>82372.774732510268</v>
      </c>
      <c r="H168" s="2"/>
      <c r="I168" s="2"/>
      <c r="J168" s="2"/>
      <c r="K168" s="2"/>
      <c r="L168" s="2"/>
      <c r="M168" s="2"/>
      <c r="N168" s="2"/>
      <c r="O168" s="2"/>
      <c r="P168" s="2"/>
      <c r="Q168" s="2"/>
      <c r="R168" s="2"/>
      <c r="S168" s="2"/>
    </row>
    <row r="169" spans="1:19" ht="13.5" hidden="1" customHeight="1">
      <c r="A169" s="152" t="s">
        <v>160</v>
      </c>
      <c r="B169" s="149" t="s">
        <v>75</v>
      </c>
      <c r="C169" s="154"/>
      <c r="D169" s="743"/>
      <c r="E169" s="737"/>
      <c r="F169" s="847"/>
      <c r="G169" s="738"/>
      <c r="H169" s="2"/>
      <c r="I169" s="2"/>
      <c r="J169" s="2"/>
      <c r="K169" s="2"/>
      <c r="L169" s="2"/>
      <c r="M169" s="2"/>
      <c r="N169" s="2"/>
      <c r="O169" s="2"/>
      <c r="P169" s="2"/>
      <c r="Q169" s="2"/>
      <c r="R169" s="2"/>
      <c r="S169" s="2"/>
    </row>
    <row r="170" spans="1:19" hidden="1">
      <c r="A170" s="152" t="s">
        <v>90</v>
      </c>
      <c r="B170" s="149" t="s">
        <v>91</v>
      </c>
      <c r="C170" s="154" t="s">
        <v>92</v>
      </c>
      <c r="D170" s="743">
        <v>153.26853333333332</v>
      </c>
      <c r="E170" s="737">
        <v>29.5</v>
      </c>
      <c r="F170" s="847"/>
      <c r="G170" s="738">
        <v>4521.4217333333327</v>
      </c>
      <c r="H170" s="2"/>
      <c r="I170" s="2"/>
      <c r="J170" s="2"/>
      <c r="K170" s="2"/>
      <c r="L170" s="2"/>
      <c r="M170" s="2"/>
      <c r="N170" s="2"/>
      <c r="O170" s="2"/>
      <c r="P170" s="2"/>
      <c r="Q170" s="2"/>
      <c r="R170" s="2"/>
      <c r="S170" s="2"/>
    </row>
    <row r="171" spans="1:19" hidden="1">
      <c r="A171" s="152" t="s">
        <v>95</v>
      </c>
      <c r="B171" s="149" t="s">
        <v>98</v>
      </c>
      <c r="C171" s="154" t="s">
        <v>92</v>
      </c>
      <c r="D171" s="743">
        <v>41.805555555555557</v>
      </c>
      <c r="E171" s="737">
        <v>29.5</v>
      </c>
      <c r="F171" s="847"/>
      <c r="G171" s="738">
        <v>1233.2638888888889</v>
      </c>
      <c r="H171" s="2"/>
      <c r="I171" s="2"/>
      <c r="J171" s="2"/>
      <c r="K171" s="2"/>
      <c r="L171" s="2"/>
      <c r="M171" s="2"/>
      <c r="N171" s="2"/>
      <c r="O171" s="2"/>
      <c r="P171" s="2"/>
      <c r="Q171" s="2"/>
      <c r="R171" s="2"/>
      <c r="S171" s="2"/>
    </row>
    <row r="172" spans="1:19" ht="13.5" hidden="1" customHeight="1">
      <c r="A172" s="152" t="s">
        <v>161</v>
      </c>
      <c r="B172" s="149" t="s">
        <v>113</v>
      </c>
      <c r="C172" s="154"/>
      <c r="D172" s="743"/>
      <c r="E172" s="737"/>
      <c r="F172" s="847"/>
      <c r="G172" s="738"/>
      <c r="H172" s="2"/>
      <c r="I172" s="2"/>
      <c r="J172" s="2"/>
      <c r="K172" s="2"/>
      <c r="L172" s="2"/>
      <c r="M172" s="2"/>
      <c r="N172" s="2"/>
      <c r="O172" s="2"/>
      <c r="P172" s="2"/>
      <c r="Q172" s="2"/>
      <c r="R172" s="2"/>
      <c r="S172" s="2"/>
    </row>
    <row r="173" spans="1:19" hidden="1">
      <c r="A173" s="152" t="s">
        <v>90</v>
      </c>
      <c r="B173" s="149" t="s">
        <v>98</v>
      </c>
      <c r="C173" s="154" t="s">
        <v>92</v>
      </c>
      <c r="D173" s="743">
        <v>180</v>
      </c>
      <c r="E173" s="737">
        <v>29.5</v>
      </c>
      <c r="F173" s="847"/>
      <c r="G173" s="738">
        <v>5310</v>
      </c>
      <c r="H173" s="2"/>
      <c r="I173" s="2"/>
      <c r="J173" s="2"/>
      <c r="K173" s="2"/>
      <c r="L173" s="2"/>
      <c r="M173" s="2"/>
      <c r="N173" s="2"/>
      <c r="O173" s="2"/>
      <c r="P173" s="2"/>
      <c r="Q173" s="2"/>
      <c r="R173" s="2"/>
      <c r="S173" s="2"/>
    </row>
    <row r="174" spans="1:19" ht="13.5" hidden="1" customHeight="1">
      <c r="A174" s="152" t="s">
        <v>162</v>
      </c>
      <c r="B174" s="149" t="s">
        <v>131</v>
      </c>
      <c r="C174" s="154"/>
      <c r="D174" s="743"/>
      <c r="E174" s="737"/>
      <c r="F174" s="847"/>
      <c r="G174" s="738"/>
      <c r="H174" s="2"/>
      <c r="I174" s="2"/>
      <c r="J174" s="2"/>
      <c r="K174" s="2"/>
      <c r="L174" s="2"/>
      <c r="M174" s="2"/>
      <c r="N174" s="2"/>
      <c r="O174" s="2"/>
      <c r="P174" s="2"/>
      <c r="Q174" s="2"/>
      <c r="R174" s="2"/>
      <c r="S174" s="2"/>
    </row>
    <row r="175" spans="1:19" hidden="1">
      <c r="A175" s="152" t="s">
        <v>90</v>
      </c>
      <c r="B175" s="149" t="s">
        <v>98</v>
      </c>
      <c r="C175" s="154" t="s">
        <v>92</v>
      </c>
      <c r="D175" s="743">
        <v>32.548611111111107</v>
      </c>
      <c r="E175" s="737">
        <v>29.5</v>
      </c>
      <c r="F175" s="847"/>
      <c r="G175" s="738">
        <v>960.18402777777771</v>
      </c>
      <c r="H175" s="2"/>
      <c r="I175" s="2"/>
      <c r="J175" s="2"/>
      <c r="K175" s="2"/>
      <c r="L175" s="2"/>
      <c r="M175" s="2"/>
      <c r="N175" s="2"/>
      <c r="O175" s="2"/>
      <c r="P175" s="2"/>
      <c r="Q175" s="2"/>
      <c r="R175" s="2"/>
      <c r="S175" s="2"/>
    </row>
    <row r="176" spans="1:19" hidden="1">
      <c r="A176" s="152"/>
      <c r="B176" s="149"/>
      <c r="C176" s="154"/>
      <c r="D176" s="148"/>
      <c r="E176" s="737"/>
      <c r="F176" s="847"/>
      <c r="G176" s="738"/>
      <c r="H176" s="2"/>
      <c r="I176" s="2"/>
      <c r="J176" s="2"/>
      <c r="K176" s="2"/>
      <c r="L176" s="2"/>
      <c r="M176" s="2"/>
      <c r="N176" s="2"/>
      <c r="O176" s="2"/>
      <c r="P176" s="2"/>
      <c r="Q176" s="2"/>
      <c r="R176" s="2"/>
      <c r="S176" s="2"/>
    </row>
    <row r="177" spans="1:19" hidden="1">
      <c r="A177" s="150">
        <v>3.6</v>
      </c>
      <c r="B177" s="151" t="s">
        <v>163</v>
      </c>
      <c r="C177" s="743"/>
      <c r="D177" s="680"/>
      <c r="E177" s="678"/>
      <c r="F177" s="849"/>
      <c r="G177" s="744"/>
      <c r="H177" s="2"/>
      <c r="I177" s="2"/>
      <c r="J177" s="2"/>
      <c r="K177" s="2"/>
      <c r="L177" s="2"/>
      <c r="M177" s="2"/>
      <c r="N177" s="2"/>
      <c r="O177" s="2"/>
      <c r="P177" s="2"/>
      <c r="Q177" s="2"/>
      <c r="R177" s="2"/>
      <c r="S177" s="2"/>
    </row>
    <row r="178" spans="1:19" hidden="1">
      <c r="A178" s="152"/>
      <c r="B178" s="143" t="s">
        <v>105</v>
      </c>
      <c r="C178" s="148"/>
      <c r="D178" s="736"/>
      <c r="E178" s="737"/>
      <c r="F178" s="847"/>
      <c r="G178" s="738"/>
      <c r="H178" s="2"/>
      <c r="I178" s="2"/>
      <c r="J178" s="2"/>
      <c r="K178" s="2"/>
      <c r="L178" s="2"/>
      <c r="M178" s="2"/>
      <c r="N178" s="2"/>
      <c r="O178" s="2"/>
      <c r="P178" s="2"/>
      <c r="Q178" s="2"/>
      <c r="R178" s="2"/>
      <c r="S178" s="2"/>
    </row>
    <row r="179" spans="1:19" hidden="1">
      <c r="A179" s="152" t="s">
        <v>164</v>
      </c>
      <c r="B179" s="149" t="s">
        <v>73</v>
      </c>
      <c r="C179" s="169" t="s">
        <v>66</v>
      </c>
      <c r="D179" s="148" t="e">
        <v>#REF!</v>
      </c>
      <c r="E179" s="737">
        <v>5200</v>
      </c>
      <c r="F179" s="847"/>
      <c r="G179" s="738" t="e">
        <v>#REF!</v>
      </c>
      <c r="H179" s="2"/>
      <c r="I179" s="2"/>
      <c r="J179" s="2"/>
      <c r="K179" s="2"/>
      <c r="L179" s="2"/>
      <c r="M179" s="2"/>
      <c r="N179" s="2"/>
      <c r="O179" s="2"/>
      <c r="P179" s="2"/>
      <c r="Q179" s="2"/>
      <c r="R179" s="2"/>
      <c r="S179" s="2"/>
    </row>
    <row r="180" spans="1:19" hidden="1">
      <c r="A180" s="152" t="s">
        <v>165</v>
      </c>
      <c r="B180" s="149" t="s">
        <v>108</v>
      </c>
      <c r="C180" s="169" t="s">
        <v>66</v>
      </c>
      <c r="D180" s="148" t="e">
        <v>#REF!</v>
      </c>
      <c r="E180" s="737">
        <v>5200</v>
      </c>
      <c r="F180" s="847"/>
      <c r="G180" s="738" t="e">
        <v>#REF!</v>
      </c>
      <c r="H180" s="2"/>
      <c r="I180" s="2"/>
      <c r="J180" s="2"/>
      <c r="K180" s="2"/>
      <c r="L180" s="2"/>
      <c r="M180" s="2"/>
      <c r="N180" s="2"/>
      <c r="O180" s="2"/>
      <c r="P180" s="2"/>
      <c r="Q180" s="2"/>
      <c r="R180" s="2"/>
      <c r="S180" s="2"/>
    </row>
    <row r="181" spans="1:19" hidden="1">
      <c r="A181" s="152" t="s">
        <v>166</v>
      </c>
      <c r="B181" s="149" t="s">
        <v>110</v>
      </c>
      <c r="C181" s="169" t="s">
        <v>66</v>
      </c>
      <c r="D181" s="148" t="e">
        <v>#REF!</v>
      </c>
      <c r="E181" s="737">
        <v>5200</v>
      </c>
      <c r="F181" s="847"/>
      <c r="G181" s="738" t="e">
        <v>#REF!</v>
      </c>
      <c r="H181" s="2"/>
      <c r="I181" s="2"/>
      <c r="J181" s="2"/>
      <c r="K181" s="2"/>
      <c r="L181" s="2"/>
      <c r="M181" s="2"/>
      <c r="N181" s="2"/>
      <c r="O181" s="2"/>
      <c r="P181" s="2"/>
      <c r="Q181" s="2"/>
      <c r="R181" s="2"/>
      <c r="S181" s="2"/>
    </row>
    <row r="182" spans="1:19" hidden="1">
      <c r="A182" s="152" t="s">
        <v>167</v>
      </c>
      <c r="B182" s="149" t="s">
        <v>75</v>
      </c>
      <c r="C182" s="169" t="s">
        <v>66</v>
      </c>
      <c r="D182" s="148" t="e">
        <v>#REF!</v>
      </c>
      <c r="E182" s="737">
        <v>5200</v>
      </c>
      <c r="F182" s="847"/>
      <c r="G182" s="738" t="e">
        <v>#REF!</v>
      </c>
      <c r="H182" s="2"/>
      <c r="I182" s="2"/>
      <c r="J182" s="2"/>
      <c r="K182" s="2"/>
      <c r="L182" s="2"/>
      <c r="M182" s="2"/>
      <c r="N182" s="2"/>
      <c r="O182" s="2"/>
      <c r="P182" s="2"/>
      <c r="Q182" s="2"/>
      <c r="R182" s="2"/>
      <c r="S182" s="2"/>
    </row>
    <row r="183" spans="1:19" hidden="1">
      <c r="A183" s="152" t="s">
        <v>168</v>
      </c>
      <c r="B183" s="149" t="s">
        <v>113</v>
      </c>
      <c r="C183" s="169" t="s">
        <v>66</v>
      </c>
      <c r="D183" s="148" t="e">
        <v>#REF!</v>
      </c>
      <c r="E183" s="737">
        <v>5200</v>
      </c>
      <c r="F183" s="847"/>
      <c r="G183" s="738" t="e">
        <v>#REF!</v>
      </c>
      <c r="H183" s="2"/>
      <c r="I183" s="2"/>
      <c r="J183" s="2"/>
      <c r="K183" s="2"/>
      <c r="L183" s="2"/>
      <c r="M183" s="2"/>
      <c r="N183" s="2"/>
      <c r="O183" s="2"/>
      <c r="P183" s="2"/>
      <c r="Q183" s="2"/>
      <c r="R183" s="2"/>
      <c r="S183" s="2"/>
    </row>
    <row r="184" spans="1:19" hidden="1">
      <c r="A184" s="152" t="s">
        <v>169</v>
      </c>
      <c r="B184" s="149" t="s">
        <v>131</v>
      </c>
      <c r="C184" s="169" t="s">
        <v>66</v>
      </c>
      <c r="D184" s="148" t="e">
        <v>#REF!</v>
      </c>
      <c r="E184" s="737">
        <v>5200</v>
      </c>
      <c r="F184" s="847"/>
      <c r="G184" s="738" t="e">
        <v>#REF!</v>
      </c>
      <c r="H184" s="2"/>
      <c r="I184" s="2"/>
      <c r="J184" s="2"/>
      <c r="K184" s="2"/>
      <c r="L184" s="2"/>
      <c r="M184" s="2"/>
      <c r="N184" s="2"/>
      <c r="O184" s="2"/>
      <c r="P184" s="2"/>
      <c r="Q184" s="2"/>
      <c r="R184" s="2"/>
      <c r="S184" s="2"/>
    </row>
    <row r="185" spans="1:19" hidden="1">
      <c r="A185" s="152"/>
      <c r="B185" s="149"/>
      <c r="C185" s="154"/>
      <c r="D185" s="148"/>
      <c r="E185" s="737"/>
      <c r="F185" s="847"/>
      <c r="G185" s="738"/>
      <c r="H185" s="2"/>
      <c r="I185" s="2"/>
      <c r="J185" s="2"/>
      <c r="K185" s="2"/>
      <c r="L185" s="2"/>
      <c r="M185" s="2"/>
      <c r="N185" s="2"/>
      <c r="O185" s="2"/>
      <c r="P185" s="2"/>
      <c r="Q185" s="2"/>
      <c r="R185" s="2"/>
      <c r="S185" s="2"/>
    </row>
    <row r="186" spans="1:19" hidden="1">
      <c r="A186" s="152"/>
      <c r="B186" s="143" t="s">
        <v>80</v>
      </c>
      <c r="C186" s="148"/>
      <c r="D186" s="736"/>
      <c r="E186" s="737"/>
      <c r="F186" s="847"/>
      <c r="G186" s="738"/>
      <c r="H186" s="2"/>
      <c r="I186" s="2"/>
      <c r="J186" s="2"/>
      <c r="K186" s="2"/>
      <c r="L186" s="2"/>
      <c r="M186" s="2"/>
      <c r="N186" s="2"/>
      <c r="O186" s="2"/>
      <c r="P186" s="2"/>
      <c r="Q186" s="2"/>
      <c r="R186" s="2"/>
      <c r="S186" s="2"/>
    </row>
    <row r="187" spans="1:19" hidden="1">
      <c r="A187" s="152" t="s">
        <v>170</v>
      </c>
      <c r="B187" s="149" t="s">
        <v>73</v>
      </c>
      <c r="C187" s="154" t="s">
        <v>84</v>
      </c>
      <c r="D187" s="148" t="e">
        <v>#REF!</v>
      </c>
      <c r="E187" s="737">
        <v>320</v>
      </c>
      <c r="F187" s="847"/>
      <c r="G187" s="738" t="e">
        <v>#REF!</v>
      </c>
      <c r="H187" s="2"/>
      <c r="I187" s="2"/>
      <c r="J187" s="2"/>
      <c r="K187" s="2"/>
      <c r="L187" s="2"/>
      <c r="M187" s="2"/>
      <c r="N187" s="2"/>
      <c r="O187" s="2"/>
      <c r="P187" s="2"/>
      <c r="Q187" s="2"/>
      <c r="R187" s="2"/>
      <c r="S187" s="2"/>
    </row>
    <row r="188" spans="1:19" hidden="1">
      <c r="A188" s="152" t="s">
        <v>171</v>
      </c>
      <c r="B188" s="149" t="s">
        <v>108</v>
      </c>
      <c r="C188" s="154" t="s">
        <v>84</v>
      </c>
      <c r="D188" s="148" t="e">
        <v>#REF!</v>
      </c>
      <c r="E188" s="737">
        <v>320</v>
      </c>
      <c r="F188" s="847"/>
      <c r="G188" s="738" t="e">
        <v>#REF!</v>
      </c>
      <c r="H188" s="2"/>
      <c r="I188" s="2"/>
      <c r="J188" s="2"/>
      <c r="K188" s="2"/>
      <c r="L188" s="2"/>
      <c r="M188" s="2"/>
      <c r="N188" s="2"/>
      <c r="O188" s="2"/>
      <c r="P188" s="2"/>
      <c r="Q188" s="2"/>
      <c r="R188" s="2"/>
      <c r="S188" s="2"/>
    </row>
    <row r="189" spans="1:19" hidden="1">
      <c r="A189" s="152" t="s">
        <v>172</v>
      </c>
      <c r="B189" s="149" t="s">
        <v>110</v>
      </c>
      <c r="C189" s="154" t="s">
        <v>84</v>
      </c>
      <c r="D189" s="148" t="e">
        <v>#REF!</v>
      </c>
      <c r="E189" s="737">
        <v>320</v>
      </c>
      <c r="F189" s="847"/>
      <c r="G189" s="738" t="e">
        <v>#REF!</v>
      </c>
      <c r="H189" s="2"/>
      <c r="I189" s="2"/>
      <c r="J189" s="2"/>
      <c r="K189" s="2"/>
      <c r="L189" s="2"/>
      <c r="M189" s="2"/>
      <c r="N189" s="2"/>
      <c r="O189" s="2"/>
      <c r="P189" s="2"/>
      <c r="Q189" s="2"/>
      <c r="R189" s="2"/>
      <c r="S189" s="2"/>
    </row>
    <row r="190" spans="1:19" hidden="1">
      <c r="A190" s="152" t="s">
        <v>173</v>
      </c>
      <c r="B190" s="149" t="s">
        <v>75</v>
      </c>
      <c r="C190" s="154" t="s">
        <v>84</v>
      </c>
      <c r="D190" s="148" t="e">
        <v>#REF!</v>
      </c>
      <c r="E190" s="737">
        <v>320</v>
      </c>
      <c r="F190" s="847"/>
      <c r="G190" s="738" t="e">
        <v>#REF!</v>
      </c>
      <c r="H190" s="2"/>
      <c r="I190" s="2"/>
      <c r="J190" s="2"/>
      <c r="K190" s="2"/>
      <c r="L190" s="2"/>
      <c r="M190" s="2"/>
      <c r="N190" s="2"/>
      <c r="O190" s="2"/>
      <c r="P190" s="2"/>
      <c r="Q190" s="2"/>
      <c r="R190" s="2"/>
      <c r="S190" s="2"/>
    </row>
    <row r="191" spans="1:19" hidden="1">
      <c r="A191" s="152" t="s">
        <v>174</v>
      </c>
      <c r="B191" s="149" t="s">
        <v>113</v>
      </c>
      <c r="C191" s="154" t="s">
        <v>84</v>
      </c>
      <c r="D191" s="148">
        <v>12</v>
      </c>
      <c r="E191" s="737">
        <v>320</v>
      </c>
      <c r="F191" s="847"/>
      <c r="G191" s="738">
        <v>3840</v>
      </c>
      <c r="H191" s="2"/>
      <c r="I191" s="2"/>
      <c r="J191" s="2"/>
      <c r="K191" s="2"/>
      <c r="L191" s="2"/>
      <c r="M191" s="2"/>
      <c r="N191" s="2"/>
      <c r="O191" s="2"/>
      <c r="P191" s="2"/>
      <c r="Q191" s="2"/>
      <c r="R191" s="2"/>
      <c r="S191" s="2"/>
    </row>
    <row r="192" spans="1:19" hidden="1">
      <c r="A192" s="152" t="s">
        <v>175</v>
      </c>
      <c r="B192" s="149" t="s">
        <v>131</v>
      </c>
      <c r="C192" s="154" t="s">
        <v>84</v>
      </c>
      <c r="D192" s="148" t="e">
        <v>#REF!</v>
      </c>
      <c r="E192" s="737">
        <v>320</v>
      </c>
      <c r="F192" s="847"/>
      <c r="G192" s="738" t="e">
        <v>#REF!</v>
      </c>
      <c r="H192" s="2"/>
      <c r="I192" s="2"/>
      <c r="J192" s="2"/>
      <c r="K192" s="2"/>
      <c r="L192" s="2"/>
      <c r="M192" s="2"/>
      <c r="N192" s="2"/>
      <c r="O192" s="2"/>
      <c r="P192" s="2"/>
      <c r="Q192" s="2"/>
      <c r="R192" s="2"/>
      <c r="S192" s="2"/>
    </row>
    <row r="193" spans="1:19" hidden="1">
      <c r="A193" s="152"/>
      <c r="B193" s="149"/>
      <c r="C193" s="154"/>
      <c r="D193" s="148"/>
      <c r="E193" s="737"/>
      <c r="F193" s="847"/>
      <c r="G193" s="738"/>
      <c r="H193" s="2"/>
      <c r="I193" s="2"/>
      <c r="J193" s="2"/>
      <c r="K193" s="2"/>
      <c r="L193" s="2"/>
      <c r="M193" s="2"/>
      <c r="N193" s="2"/>
      <c r="O193" s="2"/>
      <c r="P193" s="2"/>
      <c r="Q193" s="2"/>
      <c r="R193" s="2"/>
      <c r="S193" s="2"/>
    </row>
    <row r="194" spans="1:19" hidden="1">
      <c r="A194" s="153"/>
      <c r="B194" s="143" t="s">
        <v>88</v>
      </c>
      <c r="C194" s="154"/>
      <c r="D194" s="148"/>
      <c r="E194" s="737"/>
      <c r="F194" s="847"/>
      <c r="G194" s="738"/>
      <c r="H194" s="2"/>
      <c r="I194" s="2"/>
      <c r="J194" s="2"/>
      <c r="K194" s="2"/>
      <c r="L194" s="2"/>
      <c r="M194" s="2"/>
      <c r="N194" s="2"/>
      <c r="O194" s="2"/>
      <c r="P194" s="2"/>
      <c r="Q194" s="2"/>
      <c r="R194" s="2"/>
      <c r="S194" s="2"/>
    </row>
    <row r="195" spans="1:19" ht="13.5" hidden="1" customHeight="1">
      <c r="A195" s="152" t="s">
        <v>176</v>
      </c>
      <c r="B195" s="149" t="s">
        <v>73</v>
      </c>
      <c r="C195" s="154"/>
      <c r="D195" s="743"/>
      <c r="E195" s="737"/>
      <c r="F195" s="847"/>
      <c r="G195" s="738"/>
      <c r="H195" s="2"/>
      <c r="I195" s="2"/>
      <c r="J195" s="2"/>
      <c r="K195" s="2"/>
      <c r="L195" s="2"/>
      <c r="M195" s="2"/>
      <c r="N195" s="2"/>
      <c r="O195" s="2"/>
      <c r="P195" s="2"/>
      <c r="Q195" s="2"/>
      <c r="R195" s="2"/>
      <c r="S195" s="2"/>
    </row>
    <row r="196" spans="1:19" hidden="1">
      <c r="A196" s="152" t="s">
        <v>90</v>
      </c>
      <c r="B196" s="149" t="s">
        <v>94</v>
      </c>
      <c r="C196" s="154" t="s">
        <v>92</v>
      </c>
      <c r="D196" s="743">
        <v>545.18518518518511</v>
      </c>
      <c r="E196" s="737">
        <v>29.5</v>
      </c>
      <c r="F196" s="847"/>
      <c r="G196" s="738">
        <v>16082.96296296296</v>
      </c>
      <c r="H196" s="2"/>
      <c r="I196" s="2"/>
      <c r="J196" s="2"/>
      <c r="K196" s="2"/>
      <c r="L196" s="2"/>
      <c r="M196" s="2"/>
      <c r="N196" s="2"/>
      <c r="O196" s="2"/>
      <c r="P196" s="2"/>
      <c r="Q196" s="2"/>
      <c r="R196" s="2"/>
      <c r="S196" s="2"/>
    </row>
    <row r="197" spans="1:19" hidden="1">
      <c r="A197" s="593" t="s">
        <v>95</v>
      </c>
      <c r="B197" s="189" t="s">
        <v>96</v>
      </c>
      <c r="C197" s="647" t="s">
        <v>92</v>
      </c>
      <c r="D197" s="747">
        <v>254.86222222222221</v>
      </c>
      <c r="E197" s="748">
        <v>29.5</v>
      </c>
      <c r="F197" s="850"/>
      <c r="G197" s="749">
        <v>7518.4355555555558</v>
      </c>
      <c r="H197" s="2"/>
      <c r="I197" s="2"/>
      <c r="J197" s="2"/>
      <c r="K197" s="2"/>
      <c r="L197" s="2"/>
      <c r="M197" s="2"/>
      <c r="N197" s="2"/>
      <c r="O197" s="2"/>
      <c r="P197" s="2"/>
      <c r="Q197" s="2"/>
      <c r="R197" s="2"/>
      <c r="S197" s="2"/>
    </row>
    <row r="198" spans="1:19" hidden="1">
      <c r="A198" s="152" t="s">
        <v>97</v>
      </c>
      <c r="B198" s="149" t="s">
        <v>100</v>
      </c>
      <c r="C198" s="154" t="s">
        <v>92</v>
      </c>
      <c r="D198" s="743">
        <v>111.34666666666666</v>
      </c>
      <c r="E198" s="737">
        <v>29.5</v>
      </c>
      <c r="F198" s="847"/>
      <c r="G198" s="738">
        <v>3284.7266666666665</v>
      </c>
      <c r="H198" s="2"/>
      <c r="I198" s="2"/>
      <c r="J198" s="2"/>
      <c r="K198" s="2"/>
      <c r="L198" s="2"/>
      <c r="M198" s="2"/>
      <c r="N198" s="2"/>
      <c r="O198" s="2"/>
      <c r="P198" s="2"/>
      <c r="Q198" s="2"/>
      <c r="R198" s="2"/>
      <c r="S198" s="2"/>
    </row>
    <row r="199" spans="1:19" ht="13.5" hidden="1" customHeight="1">
      <c r="A199" s="152" t="s">
        <v>177</v>
      </c>
      <c r="B199" s="149" t="s">
        <v>108</v>
      </c>
      <c r="C199" s="154"/>
      <c r="D199" s="743"/>
      <c r="E199" s="737"/>
      <c r="F199" s="847"/>
      <c r="G199" s="738"/>
      <c r="H199" s="2"/>
      <c r="I199" s="2"/>
      <c r="J199" s="2"/>
      <c r="K199" s="2"/>
      <c r="L199" s="2"/>
      <c r="M199" s="2"/>
      <c r="N199" s="2"/>
      <c r="O199" s="2"/>
      <c r="P199" s="2"/>
      <c r="Q199" s="2"/>
      <c r="R199" s="2"/>
      <c r="S199" s="2"/>
    </row>
    <row r="200" spans="1:19" hidden="1">
      <c r="A200" s="152" t="s">
        <v>90</v>
      </c>
      <c r="B200" s="149" t="s">
        <v>96</v>
      </c>
      <c r="C200" s="154" t="s">
        <v>92</v>
      </c>
      <c r="D200" s="743">
        <v>988.51599802469138</v>
      </c>
      <c r="E200" s="737">
        <v>29.5</v>
      </c>
      <c r="F200" s="847"/>
      <c r="G200" s="738">
        <v>29161.221941728396</v>
      </c>
      <c r="H200" s="2"/>
      <c r="I200" s="2"/>
      <c r="J200" s="2"/>
      <c r="K200" s="2"/>
      <c r="L200" s="2"/>
      <c r="M200" s="2"/>
      <c r="N200" s="2"/>
      <c r="O200" s="2"/>
      <c r="P200" s="2"/>
      <c r="Q200" s="2"/>
      <c r="R200" s="2"/>
      <c r="S200" s="2"/>
    </row>
    <row r="201" spans="1:19" hidden="1">
      <c r="A201" s="152" t="s">
        <v>95</v>
      </c>
      <c r="B201" s="149" t="s">
        <v>100</v>
      </c>
      <c r="C201" s="154" t="s">
        <v>92</v>
      </c>
      <c r="D201" s="743">
        <v>197.89961481481484</v>
      </c>
      <c r="E201" s="737">
        <v>29.5</v>
      </c>
      <c r="F201" s="847"/>
      <c r="G201" s="738">
        <v>5838.0386370370379</v>
      </c>
      <c r="H201" s="2"/>
      <c r="I201" s="2"/>
      <c r="J201" s="2"/>
      <c r="K201" s="2"/>
      <c r="L201" s="2"/>
      <c r="M201" s="2"/>
      <c r="N201" s="2"/>
      <c r="O201" s="2"/>
      <c r="P201" s="2"/>
      <c r="Q201" s="2"/>
      <c r="R201" s="2"/>
      <c r="S201" s="2"/>
    </row>
    <row r="202" spans="1:19" ht="13.5" hidden="1" customHeight="1">
      <c r="A202" s="152" t="s">
        <v>178</v>
      </c>
      <c r="B202" s="149" t="s">
        <v>110</v>
      </c>
      <c r="C202" s="154"/>
      <c r="D202" s="743"/>
      <c r="E202" s="737"/>
      <c r="F202" s="847"/>
      <c r="G202" s="738"/>
      <c r="H202" s="2"/>
      <c r="I202" s="2"/>
      <c r="J202" s="2"/>
      <c r="K202" s="2"/>
      <c r="L202" s="2"/>
      <c r="M202" s="2"/>
      <c r="N202" s="2"/>
      <c r="O202" s="2"/>
      <c r="P202" s="2"/>
      <c r="Q202" s="2"/>
      <c r="R202" s="2"/>
      <c r="S202" s="2"/>
    </row>
    <row r="203" spans="1:19" hidden="1">
      <c r="A203" s="152" t="s">
        <v>90</v>
      </c>
      <c r="B203" s="149" t="s">
        <v>98</v>
      </c>
      <c r="C203" s="154" t="s">
        <v>92</v>
      </c>
      <c r="D203" s="743">
        <v>2792.2974485596701</v>
      </c>
      <c r="E203" s="737">
        <v>29.5</v>
      </c>
      <c r="F203" s="847"/>
      <c r="G203" s="738">
        <v>82372.774732510268</v>
      </c>
      <c r="H203" s="2"/>
      <c r="I203" s="2"/>
      <c r="J203" s="2"/>
      <c r="K203" s="2"/>
      <c r="L203" s="2"/>
      <c r="M203" s="2"/>
      <c r="N203" s="2"/>
      <c r="O203" s="2"/>
      <c r="P203" s="2"/>
      <c r="Q203" s="2"/>
      <c r="R203" s="2"/>
      <c r="S203" s="2"/>
    </row>
    <row r="204" spans="1:19" ht="13.5" hidden="1" customHeight="1">
      <c r="A204" s="152" t="s">
        <v>179</v>
      </c>
      <c r="B204" s="149" t="s">
        <v>75</v>
      </c>
      <c r="C204" s="154"/>
      <c r="D204" s="743"/>
      <c r="E204" s="737"/>
      <c r="F204" s="847"/>
      <c r="G204" s="738"/>
      <c r="H204" s="2"/>
      <c r="I204" s="2"/>
      <c r="J204" s="2"/>
      <c r="K204" s="2"/>
      <c r="L204" s="2"/>
      <c r="M204" s="2"/>
      <c r="N204" s="2"/>
      <c r="O204" s="2"/>
      <c r="P204" s="2"/>
      <c r="Q204" s="2"/>
      <c r="R204" s="2"/>
      <c r="S204" s="2"/>
    </row>
    <row r="205" spans="1:19" hidden="1">
      <c r="A205" s="152" t="s">
        <v>90</v>
      </c>
      <c r="B205" s="149" t="s">
        <v>91</v>
      </c>
      <c r="C205" s="154" t="s">
        <v>92</v>
      </c>
      <c r="D205" s="743">
        <v>153.26853333333332</v>
      </c>
      <c r="E205" s="737">
        <v>29.5</v>
      </c>
      <c r="F205" s="847"/>
      <c r="G205" s="738">
        <v>4521.4217333333327</v>
      </c>
      <c r="H205" s="2"/>
      <c r="I205" s="2"/>
      <c r="J205" s="2"/>
      <c r="K205" s="2"/>
      <c r="L205" s="2"/>
      <c r="M205" s="2"/>
      <c r="N205" s="2"/>
      <c r="O205" s="2"/>
      <c r="P205" s="2"/>
      <c r="Q205" s="2"/>
      <c r="R205" s="2"/>
      <c r="S205" s="2"/>
    </row>
    <row r="206" spans="1:19" hidden="1">
      <c r="A206" s="152" t="s">
        <v>95</v>
      </c>
      <c r="B206" s="149" t="s">
        <v>98</v>
      </c>
      <c r="C206" s="154" t="s">
        <v>92</v>
      </c>
      <c r="D206" s="743">
        <v>41.805555555555557</v>
      </c>
      <c r="E206" s="737">
        <v>29.5</v>
      </c>
      <c r="F206" s="847"/>
      <c r="G206" s="738">
        <v>1233.2638888888889</v>
      </c>
      <c r="H206" s="2"/>
      <c r="I206" s="2"/>
      <c r="J206" s="2"/>
      <c r="K206" s="2"/>
      <c r="L206" s="2"/>
      <c r="M206" s="2"/>
      <c r="N206" s="2"/>
      <c r="O206" s="2"/>
      <c r="P206" s="2"/>
      <c r="Q206" s="2"/>
      <c r="R206" s="2"/>
      <c r="S206" s="2"/>
    </row>
    <row r="207" spans="1:19" ht="13.5" hidden="1" customHeight="1">
      <c r="A207" s="152" t="s">
        <v>180</v>
      </c>
      <c r="B207" s="149" t="s">
        <v>113</v>
      </c>
      <c r="C207" s="154"/>
      <c r="D207" s="743"/>
      <c r="E207" s="737"/>
      <c r="F207" s="847"/>
      <c r="G207" s="738"/>
      <c r="H207" s="2"/>
      <c r="I207" s="2"/>
      <c r="J207" s="2"/>
      <c r="K207" s="2"/>
      <c r="L207" s="2"/>
      <c r="M207" s="2"/>
      <c r="N207" s="2"/>
      <c r="O207" s="2"/>
      <c r="P207" s="2"/>
      <c r="Q207" s="2"/>
      <c r="R207" s="2"/>
      <c r="S207" s="2"/>
    </row>
    <row r="208" spans="1:19" hidden="1">
      <c r="A208" s="152" t="s">
        <v>90</v>
      </c>
      <c r="B208" s="149" t="s">
        <v>98</v>
      </c>
      <c r="C208" s="154" t="s">
        <v>92</v>
      </c>
      <c r="D208" s="743">
        <v>180</v>
      </c>
      <c r="E208" s="737">
        <v>29.5</v>
      </c>
      <c r="F208" s="847"/>
      <c r="G208" s="738">
        <v>5310</v>
      </c>
      <c r="H208" s="2"/>
      <c r="I208" s="2"/>
      <c r="J208" s="2"/>
      <c r="K208" s="2"/>
      <c r="L208" s="2"/>
      <c r="M208" s="2"/>
      <c r="N208" s="2"/>
      <c r="O208" s="2"/>
      <c r="P208" s="2"/>
      <c r="Q208" s="2"/>
      <c r="R208" s="2"/>
      <c r="S208" s="2"/>
    </row>
    <row r="209" spans="1:19" ht="13.5" hidden="1" customHeight="1">
      <c r="A209" s="152" t="s">
        <v>181</v>
      </c>
      <c r="B209" s="149" t="s">
        <v>131</v>
      </c>
      <c r="C209" s="154"/>
      <c r="D209" s="743"/>
      <c r="E209" s="737"/>
      <c r="F209" s="847"/>
      <c r="G209" s="738"/>
      <c r="H209" s="2"/>
      <c r="I209" s="2"/>
      <c r="J209" s="2"/>
      <c r="K209" s="2"/>
      <c r="L209" s="2"/>
      <c r="M209" s="2"/>
      <c r="N209" s="2"/>
      <c r="O209" s="2"/>
      <c r="P209" s="2"/>
      <c r="Q209" s="2"/>
      <c r="R209" s="2"/>
      <c r="S209" s="2"/>
    </row>
    <row r="210" spans="1:19" hidden="1">
      <c r="A210" s="152" t="s">
        <v>90</v>
      </c>
      <c r="B210" s="149" t="s">
        <v>98</v>
      </c>
      <c r="C210" s="154" t="s">
        <v>92</v>
      </c>
      <c r="D210" s="743">
        <v>32.548611111111107</v>
      </c>
      <c r="E210" s="737">
        <v>29.5</v>
      </c>
      <c r="F210" s="847"/>
      <c r="G210" s="738">
        <v>960.18402777777771</v>
      </c>
      <c r="H210" s="2"/>
      <c r="I210" s="2"/>
      <c r="J210" s="2"/>
      <c r="K210" s="2"/>
      <c r="L210" s="2"/>
      <c r="M210" s="2"/>
      <c r="N210" s="2"/>
      <c r="O210" s="2"/>
      <c r="P210" s="2"/>
      <c r="Q210" s="2"/>
      <c r="R210" s="2"/>
      <c r="S210" s="2"/>
    </row>
    <row r="211" spans="1:19" hidden="1">
      <c r="A211" s="152"/>
      <c r="B211" s="149"/>
      <c r="C211" s="154"/>
      <c r="D211" s="148"/>
      <c r="E211" s="737"/>
      <c r="F211" s="847"/>
      <c r="G211" s="738"/>
      <c r="H211" s="2"/>
      <c r="I211" s="2"/>
      <c r="J211" s="2"/>
      <c r="K211" s="2"/>
      <c r="L211" s="2"/>
      <c r="M211" s="2"/>
      <c r="N211" s="2"/>
      <c r="O211" s="2"/>
      <c r="P211" s="2"/>
      <c r="Q211" s="2"/>
      <c r="R211" s="2"/>
      <c r="S211" s="2"/>
    </row>
    <row r="212" spans="1:19" hidden="1">
      <c r="A212" s="150">
        <v>3.7</v>
      </c>
      <c r="B212" s="151" t="s">
        <v>182</v>
      </c>
      <c r="C212" s="743"/>
      <c r="D212" s="680"/>
      <c r="E212" s="678"/>
      <c r="F212" s="849"/>
      <c r="G212" s="744"/>
      <c r="H212" s="2"/>
      <c r="I212" s="2"/>
      <c r="J212" s="2"/>
      <c r="K212" s="2"/>
      <c r="L212" s="2"/>
      <c r="M212" s="2"/>
      <c r="N212" s="2"/>
      <c r="O212" s="2"/>
      <c r="P212" s="2"/>
      <c r="Q212" s="2"/>
      <c r="R212" s="2"/>
      <c r="S212" s="2"/>
    </row>
    <row r="213" spans="1:19" hidden="1">
      <c r="A213" s="152"/>
      <c r="B213" s="143" t="s">
        <v>105</v>
      </c>
      <c r="C213" s="148"/>
      <c r="D213" s="736"/>
      <c r="E213" s="737"/>
      <c r="F213" s="847"/>
      <c r="G213" s="738"/>
      <c r="H213" s="2"/>
      <c r="I213" s="2"/>
      <c r="J213" s="2"/>
      <c r="K213" s="2"/>
      <c r="L213" s="2"/>
      <c r="M213" s="2"/>
      <c r="N213" s="2"/>
      <c r="O213" s="2"/>
      <c r="P213" s="2"/>
      <c r="Q213" s="2"/>
      <c r="R213" s="2"/>
      <c r="S213" s="2"/>
    </row>
    <row r="214" spans="1:19" hidden="1">
      <c r="A214" s="152" t="s">
        <v>183</v>
      </c>
      <c r="B214" s="149" t="s">
        <v>73</v>
      </c>
      <c r="C214" s="169" t="s">
        <v>66</v>
      </c>
      <c r="D214" s="148" t="e">
        <v>#REF!</v>
      </c>
      <c r="E214" s="737">
        <v>5200</v>
      </c>
      <c r="F214" s="847"/>
      <c r="G214" s="738" t="e">
        <v>#REF!</v>
      </c>
      <c r="H214" s="2"/>
      <c r="I214" s="2"/>
      <c r="J214" s="2"/>
      <c r="K214" s="2"/>
      <c r="L214" s="2"/>
      <c r="M214" s="2"/>
      <c r="N214" s="2"/>
      <c r="O214" s="2"/>
      <c r="P214" s="2"/>
      <c r="Q214" s="2"/>
      <c r="R214" s="2"/>
      <c r="S214" s="2"/>
    </row>
    <row r="215" spans="1:19" hidden="1">
      <c r="A215" s="152" t="s">
        <v>184</v>
      </c>
      <c r="B215" s="149" t="s">
        <v>108</v>
      </c>
      <c r="C215" s="169" t="s">
        <v>66</v>
      </c>
      <c r="D215" s="148" t="e">
        <v>#REF!</v>
      </c>
      <c r="E215" s="737">
        <v>5200</v>
      </c>
      <c r="F215" s="847"/>
      <c r="G215" s="738" t="e">
        <v>#REF!</v>
      </c>
      <c r="H215" s="2"/>
      <c r="I215" s="2"/>
      <c r="J215" s="2"/>
      <c r="K215" s="2"/>
      <c r="L215" s="2"/>
      <c r="M215" s="2"/>
      <c r="N215" s="2"/>
      <c r="O215" s="2"/>
      <c r="P215" s="2"/>
      <c r="Q215" s="2"/>
      <c r="R215" s="2"/>
      <c r="S215" s="2"/>
    </row>
    <row r="216" spans="1:19" hidden="1">
      <c r="A216" s="152" t="s">
        <v>185</v>
      </c>
      <c r="B216" s="149" t="s">
        <v>110</v>
      </c>
      <c r="C216" s="169" t="s">
        <v>66</v>
      </c>
      <c r="D216" s="148" t="e">
        <v>#REF!</v>
      </c>
      <c r="E216" s="737">
        <v>5200</v>
      </c>
      <c r="F216" s="847"/>
      <c r="G216" s="738" t="e">
        <v>#REF!</v>
      </c>
      <c r="H216" s="2"/>
      <c r="I216" s="2"/>
      <c r="J216" s="2"/>
      <c r="K216" s="2"/>
      <c r="L216" s="2"/>
      <c r="M216" s="2"/>
      <c r="N216" s="2"/>
      <c r="O216" s="2"/>
      <c r="P216" s="2"/>
      <c r="Q216" s="2"/>
      <c r="R216" s="2"/>
      <c r="S216" s="2"/>
    </row>
    <row r="217" spans="1:19" hidden="1">
      <c r="A217" s="152" t="s">
        <v>186</v>
      </c>
      <c r="B217" s="149" t="s">
        <v>75</v>
      </c>
      <c r="C217" s="169" t="s">
        <v>66</v>
      </c>
      <c r="D217" s="148" t="e">
        <v>#REF!</v>
      </c>
      <c r="E217" s="737">
        <v>5200</v>
      </c>
      <c r="F217" s="847"/>
      <c r="G217" s="738" t="e">
        <v>#REF!</v>
      </c>
      <c r="H217" s="2"/>
      <c r="I217" s="2"/>
      <c r="J217" s="2"/>
      <c r="K217" s="2"/>
      <c r="L217" s="2"/>
      <c r="M217" s="2"/>
      <c r="N217" s="2"/>
      <c r="O217" s="2"/>
      <c r="P217" s="2"/>
      <c r="Q217" s="2"/>
      <c r="R217" s="2"/>
      <c r="S217" s="2"/>
    </row>
    <row r="218" spans="1:19" hidden="1">
      <c r="A218" s="152" t="s">
        <v>187</v>
      </c>
      <c r="B218" s="149" t="s">
        <v>113</v>
      </c>
      <c r="C218" s="169" t="s">
        <v>66</v>
      </c>
      <c r="D218" s="148" t="e">
        <v>#REF!</v>
      </c>
      <c r="E218" s="737">
        <v>5200</v>
      </c>
      <c r="F218" s="847"/>
      <c r="G218" s="738" t="e">
        <v>#REF!</v>
      </c>
      <c r="H218" s="2"/>
      <c r="I218" s="2"/>
      <c r="J218" s="2"/>
      <c r="K218" s="2"/>
      <c r="L218" s="2"/>
      <c r="M218" s="2"/>
      <c r="N218" s="2"/>
      <c r="O218" s="2"/>
      <c r="P218" s="2"/>
      <c r="Q218" s="2"/>
      <c r="R218" s="2"/>
      <c r="S218" s="2"/>
    </row>
    <row r="219" spans="1:19" hidden="1">
      <c r="A219" s="152" t="s">
        <v>188</v>
      </c>
      <c r="B219" s="149" t="s">
        <v>131</v>
      </c>
      <c r="C219" s="169" t="s">
        <v>66</v>
      </c>
      <c r="D219" s="148" t="e">
        <v>#REF!</v>
      </c>
      <c r="E219" s="737">
        <v>5200</v>
      </c>
      <c r="F219" s="847"/>
      <c r="G219" s="738" t="e">
        <v>#REF!</v>
      </c>
      <c r="H219" s="2"/>
      <c r="I219" s="2"/>
      <c r="J219" s="2"/>
      <c r="K219" s="2"/>
      <c r="L219" s="2"/>
      <c r="M219" s="2"/>
      <c r="N219" s="2"/>
      <c r="O219" s="2"/>
      <c r="P219" s="2"/>
      <c r="Q219" s="2"/>
      <c r="R219" s="2"/>
      <c r="S219" s="2"/>
    </row>
    <row r="220" spans="1:19" hidden="1">
      <c r="A220" s="152"/>
      <c r="B220" s="149"/>
      <c r="C220" s="154"/>
      <c r="D220" s="148"/>
      <c r="E220" s="737"/>
      <c r="F220" s="847"/>
      <c r="G220" s="738"/>
      <c r="H220" s="2"/>
      <c r="I220" s="2"/>
      <c r="J220" s="2"/>
      <c r="K220" s="2"/>
      <c r="L220" s="2"/>
      <c r="M220" s="2"/>
      <c r="N220" s="2"/>
      <c r="O220" s="2"/>
      <c r="P220" s="2"/>
      <c r="Q220" s="2"/>
      <c r="R220" s="2"/>
      <c r="S220" s="2"/>
    </row>
    <row r="221" spans="1:19" hidden="1">
      <c r="A221" s="152"/>
      <c r="B221" s="143" t="s">
        <v>80</v>
      </c>
      <c r="C221" s="148"/>
      <c r="D221" s="736"/>
      <c r="E221" s="737"/>
      <c r="F221" s="847"/>
      <c r="G221" s="738"/>
      <c r="H221" s="2"/>
      <c r="I221" s="2"/>
      <c r="J221" s="2"/>
      <c r="K221" s="2"/>
      <c r="L221" s="2"/>
      <c r="M221" s="2"/>
      <c r="N221" s="2"/>
      <c r="O221" s="2"/>
      <c r="P221" s="2"/>
      <c r="Q221" s="2"/>
      <c r="R221" s="2"/>
      <c r="S221" s="2"/>
    </row>
    <row r="222" spans="1:19" hidden="1">
      <c r="A222" s="152" t="s">
        <v>189</v>
      </c>
      <c r="B222" s="149" t="s">
        <v>73</v>
      </c>
      <c r="C222" s="154" t="s">
        <v>84</v>
      </c>
      <c r="D222" s="148" t="e">
        <v>#REF!</v>
      </c>
      <c r="E222" s="737">
        <v>320</v>
      </c>
      <c r="F222" s="847"/>
      <c r="G222" s="738" t="e">
        <v>#REF!</v>
      </c>
      <c r="H222" s="2"/>
      <c r="I222" s="2"/>
      <c r="J222" s="2"/>
      <c r="K222" s="2"/>
      <c r="L222" s="2"/>
      <c r="M222" s="2"/>
      <c r="N222" s="2"/>
      <c r="O222" s="2"/>
      <c r="P222" s="2"/>
      <c r="Q222" s="2"/>
      <c r="R222" s="2"/>
      <c r="S222" s="2"/>
    </row>
    <row r="223" spans="1:19" hidden="1">
      <c r="A223" s="152" t="s">
        <v>190</v>
      </c>
      <c r="B223" s="149" t="s">
        <v>108</v>
      </c>
      <c r="C223" s="154" t="s">
        <v>84</v>
      </c>
      <c r="D223" s="148" t="e">
        <v>#REF!</v>
      </c>
      <c r="E223" s="737">
        <v>320</v>
      </c>
      <c r="F223" s="847"/>
      <c r="G223" s="738" t="e">
        <v>#REF!</v>
      </c>
      <c r="H223" s="2"/>
      <c r="I223" s="2"/>
      <c r="J223" s="2"/>
      <c r="K223" s="2"/>
      <c r="L223" s="2"/>
      <c r="M223" s="2"/>
      <c r="N223" s="2"/>
      <c r="O223" s="2"/>
      <c r="P223" s="2"/>
      <c r="Q223" s="2"/>
      <c r="R223" s="2"/>
      <c r="S223" s="2"/>
    </row>
    <row r="224" spans="1:19" hidden="1">
      <c r="A224" s="152" t="s">
        <v>191</v>
      </c>
      <c r="B224" s="149" t="s">
        <v>110</v>
      </c>
      <c r="C224" s="154" t="s">
        <v>84</v>
      </c>
      <c r="D224" s="148" t="e">
        <v>#REF!</v>
      </c>
      <c r="E224" s="737">
        <v>320</v>
      </c>
      <c r="F224" s="847"/>
      <c r="G224" s="738" t="e">
        <v>#REF!</v>
      </c>
      <c r="H224" s="2"/>
      <c r="I224" s="2"/>
      <c r="J224" s="2"/>
      <c r="K224" s="2"/>
      <c r="L224" s="2"/>
      <c r="M224" s="2"/>
      <c r="N224" s="2"/>
      <c r="O224" s="2"/>
      <c r="P224" s="2"/>
      <c r="Q224" s="2"/>
      <c r="R224" s="2"/>
      <c r="S224" s="2"/>
    </row>
    <row r="225" spans="1:19" hidden="1">
      <c r="A225" s="152" t="s">
        <v>192</v>
      </c>
      <c r="B225" s="149" t="s">
        <v>75</v>
      </c>
      <c r="C225" s="154" t="s">
        <v>84</v>
      </c>
      <c r="D225" s="148" t="e">
        <v>#REF!</v>
      </c>
      <c r="E225" s="737">
        <v>320</v>
      </c>
      <c r="F225" s="847"/>
      <c r="G225" s="738" t="e">
        <v>#REF!</v>
      </c>
      <c r="H225" s="2"/>
      <c r="I225" s="2"/>
      <c r="J225" s="2"/>
      <c r="K225" s="2"/>
      <c r="L225" s="2"/>
      <c r="M225" s="2"/>
      <c r="N225" s="2"/>
      <c r="O225" s="2"/>
      <c r="P225" s="2"/>
      <c r="Q225" s="2"/>
      <c r="R225" s="2"/>
      <c r="S225" s="2"/>
    </row>
    <row r="226" spans="1:19" hidden="1">
      <c r="A226" s="152" t="s">
        <v>193</v>
      </c>
      <c r="B226" s="149" t="s">
        <v>113</v>
      </c>
      <c r="C226" s="154" t="s">
        <v>84</v>
      </c>
      <c r="D226" s="148">
        <v>12</v>
      </c>
      <c r="E226" s="737">
        <v>320</v>
      </c>
      <c r="F226" s="847"/>
      <c r="G226" s="738">
        <v>3840</v>
      </c>
      <c r="H226" s="2"/>
      <c r="I226" s="2"/>
      <c r="J226" s="2"/>
      <c r="K226" s="2"/>
      <c r="L226" s="2"/>
      <c r="M226" s="2"/>
      <c r="N226" s="2"/>
      <c r="O226" s="2"/>
      <c r="P226" s="2"/>
      <c r="Q226" s="2"/>
      <c r="R226" s="2"/>
      <c r="S226" s="2"/>
    </row>
    <row r="227" spans="1:19" hidden="1">
      <c r="A227" s="152" t="s">
        <v>194</v>
      </c>
      <c r="B227" s="149" t="s">
        <v>131</v>
      </c>
      <c r="C227" s="154" t="s">
        <v>84</v>
      </c>
      <c r="D227" s="148" t="e">
        <v>#REF!</v>
      </c>
      <c r="E227" s="737">
        <v>320</v>
      </c>
      <c r="F227" s="847"/>
      <c r="G227" s="738" t="e">
        <v>#REF!</v>
      </c>
      <c r="H227" s="2"/>
      <c r="I227" s="2"/>
      <c r="J227" s="2"/>
      <c r="K227" s="2"/>
      <c r="L227" s="2"/>
      <c r="M227" s="2"/>
      <c r="N227" s="2"/>
      <c r="O227" s="2"/>
      <c r="P227" s="2"/>
      <c r="Q227" s="2"/>
      <c r="R227" s="2"/>
      <c r="S227" s="2"/>
    </row>
    <row r="228" spans="1:19" hidden="1">
      <c r="A228" s="152"/>
      <c r="B228" s="149"/>
      <c r="C228" s="154"/>
      <c r="D228" s="148"/>
      <c r="E228" s="737"/>
      <c r="F228" s="847"/>
      <c r="G228" s="738"/>
      <c r="H228" s="2"/>
      <c r="I228" s="2"/>
      <c r="J228" s="2"/>
      <c r="K228" s="2"/>
      <c r="L228" s="2"/>
      <c r="M228" s="2"/>
      <c r="N228" s="2"/>
      <c r="O228" s="2"/>
      <c r="P228" s="2"/>
      <c r="Q228" s="2"/>
      <c r="R228" s="2"/>
      <c r="S228" s="2"/>
    </row>
    <row r="229" spans="1:19" hidden="1">
      <c r="A229" s="153"/>
      <c r="B229" s="143" t="s">
        <v>88</v>
      </c>
      <c r="C229" s="154"/>
      <c r="D229" s="148"/>
      <c r="E229" s="737"/>
      <c r="F229" s="847"/>
      <c r="G229" s="738"/>
      <c r="H229" s="2"/>
      <c r="I229" s="2"/>
      <c r="J229" s="2"/>
      <c r="K229" s="2"/>
      <c r="L229" s="2"/>
      <c r="M229" s="2"/>
      <c r="N229" s="2"/>
      <c r="O229" s="2"/>
      <c r="P229" s="2"/>
      <c r="Q229" s="2"/>
      <c r="R229" s="2"/>
      <c r="S229" s="2"/>
    </row>
    <row r="230" spans="1:19" ht="13.5" hidden="1" customHeight="1">
      <c r="A230" s="152" t="s">
        <v>195</v>
      </c>
      <c r="B230" s="149" t="s">
        <v>73</v>
      </c>
      <c r="C230" s="154"/>
      <c r="D230" s="743"/>
      <c r="E230" s="737"/>
      <c r="F230" s="847"/>
      <c r="G230" s="738"/>
      <c r="H230" s="2"/>
      <c r="I230" s="2"/>
      <c r="J230" s="2"/>
      <c r="K230" s="2"/>
      <c r="L230" s="2"/>
      <c r="M230" s="2"/>
      <c r="N230" s="2"/>
      <c r="O230" s="2"/>
      <c r="P230" s="2"/>
      <c r="Q230" s="2"/>
      <c r="R230" s="2"/>
      <c r="S230" s="2"/>
    </row>
    <row r="231" spans="1:19" hidden="1">
      <c r="A231" s="152" t="s">
        <v>90</v>
      </c>
      <c r="B231" s="149" t="s">
        <v>94</v>
      </c>
      <c r="C231" s="154" t="s">
        <v>92</v>
      </c>
      <c r="D231" s="743">
        <v>545.18518518518511</v>
      </c>
      <c r="E231" s="737">
        <v>29.5</v>
      </c>
      <c r="F231" s="847"/>
      <c r="G231" s="738">
        <v>16082.96296296296</v>
      </c>
      <c r="H231" s="2"/>
      <c r="I231" s="2"/>
      <c r="J231" s="2"/>
      <c r="K231" s="2"/>
      <c r="L231" s="2"/>
      <c r="M231" s="2"/>
      <c r="N231" s="2"/>
      <c r="O231" s="2"/>
      <c r="P231" s="2"/>
      <c r="Q231" s="2"/>
      <c r="R231" s="2"/>
      <c r="S231" s="2"/>
    </row>
    <row r="232" spans="1:19" hidden="1">
      <c r="A232" s="152" t="s">
        <v>95</v>
      </c>
      <c r="B232" s="149" t="s">
        <v>96</v>
      </c>
      <c r="C232" s="154" t="s">
        <v>92</v>
      </c>
      <c r="D232" s="743">
        <v>254.86222222222221</v>
      </c>
      <c r="E232" s="737">
        <v>29.5</v>
      </c>
      <c r="F232" s="847"/>
      <c r="G232" s="738">
        <v>7518.4355555555558</v>
      </c>
      <c r="H232" s="2"/>
      <c r="I232" s="2"/>
      <c r="J232" s="2"/>
      <c r="K232" s="2"/>
      <c r="L232" s="2"/>
      <c r="M232" s="2"/>
      <c r="N232" s="2"/>
      <c r="O232" s="2"/>
      <c r="P232" s="2"/>
      <c r="Q232" s="2"/>
      <c r="R232" s="2"/>
      <c r="S232" s="2"/>
    </row>
    <row r="233" spans="1:19" hidden="1">
      <c r="A233" s="152" t="s">
        <v>97</v>
      </c>
      <c r="B233" s="149" t="s">
        <v>100</v>
      </c>
      <c r="C233" s="154" t="s">
        <v>92</v>
      </c>
      <c r="D233" s="743">
        <v>111.34666666666666</v>
      </c>
      <c r="E233" s="737">
        <v>29.5</v>
      </c>
      <c r="F233" s="847"/>
      <c r="G233" s="738">
        <v>3284.7266666666665</v>
      </c>
      <c r="H233" s="2"/>
      <c r="I233" s="2"/>
      <c r="J233" s="2"/>
      <c r="K233" s="2"/>
      <c r="L233" s="2"/>
      <c r="M233" s="2"/>
      <c r="N233" s="2"/>
      <c r="O233" s="2"/>
      <c r="P233" s="2"/>
      <c r="Q233" s="2"/>
      <c r="R233" s="2"/>
      <c r="S233" s="2"/>
    </row>
    <row r="234" spans="1:19" ht="13.5" hidden="1" customHeight="1">
      <c r="A234" s="152" t="s">
        <v>196</v>
      </c>
      <c r="B234" s="149" t="s">
        <v>108</v>
      </c>
      <c r="C234" s="154"/>
      <c r="D234" s="743"/>
      <c r="E234" s="737"/>
      <c r="F234" s="847"/>
      <c r="G234" s="738"/>
      <c r="H234" s="2"/>
      <c r="I234" s="2"/>
      <c r="J234" s="2"/>
      <c r="K234" s="2"/>
      <c r="L234" s="2"/>
      <c r="M234" s="2"/>
      <c r="N234" s="2"/>
      <c r="O234" s="2"/>
      <c r="P234" s="2"/>
      <c r="Q234" s="2"/>
      <c r="R234" s="2"/>
      <c r="S234" s="2"/>
    </row>
    <row r="235" spans="1:19" hidden="1">
      <c r="A235" s="152" t="s">
        <v>90</v>
      </c>
      <c r="B235" s="149" t="s">
        <v>96</v>
      </c>
      <c r="C235" s="154" t="s">
        <v>92</v>
      </c>
      <c r="D235" s="743">
        <v>988.51599802469138</v>
      </c>
      <c r="E235" s="737">
        <v>29.5</v>
      </c>
      <c r="F235" s="847"/>
      <c r="G235" s="738">
        <v>29161.221941728396</v>
      </c>
      <c r="H235" s="2"/>
      <c r="I235" s="2"/>
      <c r="J235" s="2"/>
      <c r="K235" s="2"/>
      <c r="L235" s="2"/>
      <c r="M235" s="2"/>
      <c r="N235" s="2"/>
      <c r="O235" s="2"/>
      <c r="P235" s="2"/>
      <c r="Q235" s="2"/>
      <c r="R235" s="2"/>
      <c r="S235" s="2"/>
    </row>
    <row r="236" spans="1:19" hidden="1">
      <c r="A236" s="152" t="s">
        <v>95</v>
      </c>
      <c r="B236" s="149" t="s">
        <v>100</v>
      </c>
      <c r="C236" s="154" t="s">
        <v>92</v>
      </c>
      <c r="D236" s="743">
        <v>197.89961481481484</v>
      </c>
      <c r="E236" s="737">
        <v>29.5</v>
      </c>
      <c r="F236" s="847"/>
      <c r="G236" s="738">
        <v>5838.0386370370379</v>
      </c>
      <c r="H236" s="2"/>
      <c r="I236" s="2"/>
      <c r="J236" s="2"/>
      <c r="K236" s="2"/>
      <c r="L236" s="2"/>
      <c r="M236" s="2"/>
      <c r="N236" s="2"/>
      <c r="O236" s="2"/>
      <c r="P236" s="2"/>
      <c r="Q236" s="2"/>
      <c r="R236" s="2"/>
      <c r="S236" s="2"/>
    </row>
    <row r="237" spans="1:19" ht="13.5" hidden="1" customHeight="1">
      <c r="A237" s="152" t="s">
        <v>197</v>
      </c>
      <c r="B237" s="149" t="s">
        <v>110</v>
      </c>
      <c r="C237" s="154"/>
      <c r="D237" s="743"/>
      <c r="E237" s="737"/>
      <c r="F237" s="847"/>
      <c r="G237" s="738"/>
      <c r="H237" s="2"/>
      <c r="I237" s="2"/>
      <c r="J237" s="2"/>
      <c r="K237" s="2"/>
      <c r="L237" s="2"/>
      <c r="M237" s="2"/>
      <c r="N237" s="2"/>
      <c r="O237" s="2"/>
      <c r="P237" s="2"/>
      <c r="Q237" s="2"/>
      <c r="R237" s="2"/>
      <c r="S237" s="2"/>
    </row>
    <row r="238" spans="1:19" hidden="1">
      <c r="A238" s="152" t="s">
        <v>90</v>
      </c>
      <c r="B238" s="149" t="s">
        <v>98</v>
      </c>
      <c r="C238" s="154" t="s">
        <v>92</v>
      </c>
      <c r="D238" s="743">
        <v>2792.2974485596701</v>
      </c>
      <c r="E238" s="737">
        <v>29.5</v>
      </c>
      <c r="F238" s="847"/>
      <c r="G238" s="738">
        <v>82372.774732510268</v>
      </c>
      <c r="H238" s="2"/>
      <c r="I238" s="2"/>
      <c r="J238" s="2"/>
      <c r="K238" s="2"/>
      <c r="L238" s="2"/>
      <c r="M238" s="2"/>
      <c r="N238" s="2"/>
      <c r="O238" s="2"/>
      <c r="P238" s="2"/>
      <c r="Q238" s="2"/>
      <c r="R238" s="2"/>
      <c r="S238" s="2"/>
    </row>
    <row r="239" spans="1:19" ht="13.5" hidden="1" customHeight="1">
      <c r="A239" s="152" t="s">
        <v>198</v>
      </c>
      <c r="B239" s="149" t="s">
        <v>75</v>
      </c>
      <c r="C239" s="154"/>
      <c r="D239" s="743"/>
      <c r="E239" s="737"/>
      <c r="F239" s="847"/>
      <c r="G239" s="738"/>
      <c r="H239" s="2"/>
      <c r="I239" s="2"/>
      <c r="J239" s="2"/>
      <c r="K239" s="2"/>
      <c r="L239" s="2"/>
      <c r="M239" s="2"/>
      <c r="N239" s="2"/>
      <c r="O239" s="2"/>
      <c r="P239" s="2"/>
      <c r="Q239" s="2"/>
      <c r="R239" s="2"/>
      <c r="S239" s="2"/>
    </row>
    <row r="240" spans="1:19" hidden="1">
      <c r="A240" s="152" t="s">
        <v>90</v>
      </c>
      <c r="B240" s="149" t="s">
        <v>91</v>
      </c>
      <c r="C240" s="154" t="s">
        <v>92</v>
      </c>
      <c r="D240" s="743">
        <v>153.26853333333332</v>
      </c>
      <c r="E240" s="737">
        <v>29.5</v>
      </c>
      <c r="F240" s="847"/>
      <c r="G240" s="738">
        <v>4521.4217333333327</v>
      </c>
      <c r="H240" s="2"/>
      <c r="I240" s="2"/>
      <c r="J240" s="2"/>
      <c r="K240" s="2"/>
      <c r="L240" s="2"/>
      <c r="M240" s="2"/>
      <c r="N240" s="2"/>
      <c r="O240" s="2"/>
      <c r="P240" s="2"/>
      <c r="Q240" s="2"/>
      <c r="R240" s="2"/>
      <c r="S240" s="2"/>
    </row>
    <row r="241" spans="1:19" hidden="1">
      <c r="A241" s="152" t="s">
        <v>95</v>
      </c>
      <c r="B241" s="149" t="s">
        <v>98</v>
      </c>
      <c r="C241" s="154" t="s">
        <v>92</v>
      </c>
      <c r="D241" s="743">
        <v>41.805555555555557</v>
      </c>
      <c r="E241" s="737">
        <v>29.5</v>
      </c>
      <c r="F241" s="847"/>
      <c r="G241" s="738">
        <v>1233.2638888888889</v>
      </c>
      <c r="H241" s="2"/>
      <c r="I241" s="2"/>
      <c r="J241" s="2"/>
      <c r="K241" s="2"/>
      <c r="L241" s="2"/>
      <c r="M241" s="2"/>
      <c r="N241" s="2"/>
      <c r="O241" s="2"/>
      <c r="P241" s="2"/>
      <c r="Q241" s="2"/>
      <c r="R241" s="2"/>
      <c r="S241" s="2"/>
    </row>
    <row r="242" spans="1:19" ht="13.5" hidden="1" customHeight="1">
      <c r="A242" s="152" t="s">
        <v>199</v>
      </c>
      <c r="B242" s="149" t="s">
        <v>113</v>
      </c>
      <c r="C242" s="154"/>
      <c r="D242" s="743"/>
      <c r="E242" s="737"/>
      <c r="F242" s="847"/>
      <c r="G242" s="738"/>
      <c r="H242" s="2"/>
      <c r="I242" s="2"/>
      <c r="J242" s="2"/>
      <c r="K242" s="2"/>
      <c r="L242" s="2"/>
      <c r="M242" s="2"/>
      <c r="N242" s="2"/>
      <c r="O242" s="2"/>
      <c r="P242" s="2"/>
      <c r="Q242" s="2"/>
      <c r="R242" s="2"/>
      <c r="S242" s="2"/>
    </row>
    <row r="243" spans="1:19" hidden="1">
      <c r="A243" s="152" t="s">
        <v>90</v>
      </c>
      <c r="B243" s="149" t="s">
        <v>98</v>
      </c>
      <c r="C243" s="154" t="s">
        <v>92</v>
      </c>
      <c r="D243" s="743">
        <v>180</v>
      </c>
      <c r="E243" s="737">
        <v>29.5</v>
      </c>
      <c r="F243" s="847"/>
      <c r="G243" s="738">
        <v>5310</v>
      </c>
      <c r="H243" s="2"/>
      <c r="I243" s="2"/>
      <c r="J243" s="2"/>
      <c r="K243" s="2"/>
      <c r="L243" s="2"/>
      <c r="M243" s="2"/>
      <c r="N243" s="2"/>
      <c r="O243" s="2"/>
      <c r="P243" s="2"/>
      <c r="Q243" s="2"/>
      <c r="R243" s="2"/>
      <c r="S243" s="2"/>
    </row>
    <row r="244" spans="1:19" ht="13.5" hidden="1" customHeight="1">
      <c r="A244" s="152" t="s">
        <v>200</v>
      </c>
      <c r="B244" s="149" t="s">
        <v>131</v>
      </c>
      <c r="C244" s="154"/>
      <c r="D244" s="743"/>
      <c r="E244" s="737"/>
      <c r="F244" s="847"/>
      <c r="G244" s="738"/>
      <c r="H244" s="2"/>
      <c r="I244" s="2"/>
      <c r="J244" s="2"/>
      <c r="K244" s="2"/>
      <c r="L244" s="2"/>
      <c r="M244" s="2"/>
      <c r="N244" s="2"/>
      <c r="O244" s="2"/>
      <c r="P244" s="2"/>
      <c r="Q244" s="2"/>
      <c r="R244" s="2"/>
      <c r="S244" s="2"/>
    </row>
    <row r="245" spans="1:19" hidden="1">
      <c r="A245" s="152" t="s">
        <v>90</v>
      </c>
      <c r="B245" s="149" t="s">
        <v>98</v>
      </c>
      <c r="C245" s="154" t="s">
        <v>92</v>
      </c>
      <c r="D245" s="743">
        <v>32.548611111111107</v>
      </c>
      <c r="E245" s="737">
        <v>29.5</v>
      </c>
      <c r="F245" s="847"/>
      <c r="G245" s="738">
        <v>960.18402777777771</v>
      </c>
      <c r="H245" s="2"/>
      <c r="I245" s="2"/>
      <c r="J245" s="2"/>
      <c r="K245" s="2"/>
      <c r="L245" s="2"/>
      <c r="M245" s="2"/>
      <c r="N245" s="2"/>
      <c r="O245" s="2"/>
      <c r="P245" s="2"/>
      <c r="Q245" s="2"/>
      <c r="R245" s="2"/>
      <c r="S245" s="2"/>
    </row>
    <row r="246" spans="1:19" hidden="1">
      <c r="A246" s="152"/>
      <c r="B246" s="149"/>
      <c r="C246" s="154"/>
      <c r="D246" s="148"/>
      <c r="E246" s="737"/>
      <c r="F246" s="847"/>
      <c r="G246" s="738"/>
      <c r="H246" s="2"/>
      <c r="I246" s="2"/>
      <c r="J246" s="2"/>
      <c r="K246" s="2"/>
      <c r="L246" s="2"/>
      <c r="M246" s="2"/>
      <c r="N246" s="2"/>
      <c r="O246" s="2"/>
      <c r="P246" s="2"/>
      <c r="Q246" s="2"/>
      <c r="R246" s="2"/>
      <c r="S246" s="2"/>
    </row>
    <row r="247" spans="1:19" hidden="1">
      <c r="A247" s="150">
        <v>3.8</v>
      </c>
      <c r="B247" s="151" t="s">
        <v>201</v>
      </c>
      <c r="C247" s="743"/>
      <c r="D247" s="680"/>
      <c r="E247" s="678"/>
      <c r="F247" s="849"/>
      <c r="G247" s="744"/>
      <c r="H247" s="2"/>
      <c r="I247" s="2"/>
      <c r="J247" s="2"/>
      <c r="K247" s="2"/>
      <c r="L247" s="2"/>
      <c r="M247" s="2"/>
      <c r="N247" s="2"/>
      <c r="O247" s="2"/>
      <c r="P247" s="2"/>
      <c r="Q247" s="2"/>
      <c r="R247" s="2"/>
      <c r="S247" s="2"/>
    </row>
    <row r="248" spans="1:19" hidden="1">
      <c r="A248" s="152"/>
      <c r="B248" s="143" t="s">
        <v>105</v>
      </c>
      <c r="C248" s="148"/>
      <c r="D248" s="736"/>
      <c r="E248" s="737"/>
      <c r="F248" s="847"/>
      <c r="G248" s="738"/>
      <c r="H248" s="2"/>
      <c r="I248" s="2"/>
      <c r="J248" s="2"/>
      <c r="K248" s="2"/>
      <c r="L248" s="2"/>
      <c r="M248" s="2"/>
      <c r="N248" s="2"/>
      <c r="O248" s="2"/>
      <c r="P248" s="2"/>
      <c r="Q248" s="2"/>
      <c r="R248" s="2"/>
      <c r="S248" s="2"/>
    </row>
    <row r="249" spans="1:19" hidden="1">
      <c r="A249" s="152" t="s">
        <v>202</v>
      </c>
      <c r="B249" s="149" t="s">
        <v>73</v>
      </c>
      <c r="C249" s="169" t="s">
        <v>66</v>
      </c>
      <c r="D249" s="148" t="e">
        <v>#REF!</v>
      </c>
      <c r="E249" s="737">
        <v>5200</v>
      </c>
      <c r="F249" s="847"/>
      <c r="G249" s="738" t="e">
        <v>#REF!</v>
      </c>
      <c r="H249" s="2"/>
      <c r="I249" s="2"/>
      <c r="J249" s="2"/>
      <c r="K249" s="2"/>
      <c r="L249" s="2"/>
      <c r="M249" s="2"/>
      <c r="N249" s="2"/>
      <c r="O249" s="2"/>
      <c r="P249" s="2"/>
      <c r="Q249" s="2"/>
      <c r="R249" s="2"/>
      <c r="S249" s="2"/>
    </row>
    <row r="250" spans="1:19" hidden="1">
      <c r="A250" s="152" t="s">
        <v>203</v>
      </c>
      <c r="B250" s="149" t="s">
        <v>108</v>
      </c>
      <c r="C250" s="169" t="s">
        <v>66</v>
      </c>
      <c r="D250" s="148" t="e">
        <v>#REF!</v>
      </c>
      <c r="E250" s="737">
        <v>5200</v>
      </c>
      <c r="F250" s="847"/>
      <c r="G250" s="738" t="e">
        <v>#REF!</v>
      </c>
      <c r="H250" s="2"/>
      <c r="I250" s="2"/>
      <c r="J250" s="2"/>
      <c r="K250" s="2"/>
      <c r="L250" s="2"/>
      <c r="M250" s="2"/>
      <c r="N250" s="2"/>
      <c r="O250" s="2"/>
      <c r="P250" s="2"/>
      <c r="Q250" s="2"/>
      <c r="R250" s="2"/>
      <c r="S250" s="2"/>
    </row>
    <row r="251" spans="1:19" hidden="1">
      <c r="A251" s="152" t="s">
        <v>204</v>
      </c>
      <c r="B251" s="149" t="s">
        <v>110</v>
      </c>
      <c r="C251" s="169" t="s">
        <v>66</v>
      </c>
      <c r="D251" s="148" t="e">
        <v>#REF!</v>
      </c>
      <c r="E251" s="737">
        <v>5200</v>
      </c>
      <c r="F251" s="847"/>
      <c r="G251" s="738" t="e">
        <v>#REF!</v>
      </c>
      <c r="H251" s="2"/>
      <c r="I251" s="2"/>
      <c r="J251" s="2"/>
      <c r="K251" s="2"/>
      <c r="L251" s="2"/>
      <c r="M251" s="2"/>
      <c r="N251" s="2"/>
      <c r="O251" s="2"/>
      <c r="P251" s="2"/>
      <c r="Q251" s="2"/>
      <c r="R251" s="2"/>
      <c r="S251" s="2"/>
    </row>
    <row r="252" spans="1:19" hidden="1">
      <c r="A252" s="152" t="s">
        <v>205</v>
      </c>
      <c r="B252" s="149" t="s">
        <v>75</v>
      </c>
      <c r="C252" s="169" t="s">
        <v>66</v>
      </c>
      <c r="D252" s="148" t="e">
        <v>#REF!</v>
      </c>
      <c r="E252" s="737">
        <v>5200</v>
      </c>
      <c r="F252" s="847"/>
      <c r="G252" s="738" t="e">
        <v>#REF!</v>
      </c>
      <c r="H252" s="2"/>
      <c r="I252" s="2"/>
      <c r="J252" s="2"/>
      <c r="K252" s="2"/>
      <c r="L252" s="2"/>
      <c r="M252" s="2"/>
      <c r="N252" s="2"/>
      <c r="O252" s="2"/>
      <c r="P252" s="2"/>
      <c r="Q252" s="2"/>
      <c r="R252" s="2"/>
      <c r="S252" s="2"/>
    </row>
    <row r="253" spans="1:19" hidden="1">
      <c r="A253" s="152" t="s">
        <v>206</v>
      </c>
      <c r="B253" s="149" t="s">
        <v>113</v>
      </c>
      <c r="C253" s="169" t="s">
        <v>66</v>
      </c>
      <c r="D253" s="148" t="e">
        <v>#REF!</v>
      </c>
      <c r="E253" s="737">
        <v>5200</v>
      </c>
      <c r="F253" s="847"/>
      <c r="G253" s="738" t="e">
        <v>#REF!</v>
      </c>
      <c r="H253" s="2"/>
      <c r="I253" s="2"/>
      <c r="J253" s="2"/>
      <c r="K253" s="2"/>
      <c r="L253" s="2"/>
      <c r="M253" s="2"/>
      <c r="N253" s="2"/>
      <c r="O253" s="2"/>
      <c r="P253" s="2"/>
      <c r="Q253" s="2"/>
      <c r="R253" s="2"/>
      <c r="S253" s="2"/>
    </row>
    <row r="254" spans="1:19" hidden="1">
      <c r="A254" s="152" t="s">
        <v>207</v>
      </c>
      <c r="B254" s="149" t="s">
        <v>131</v>
      </c>
      <c r="C254" s="169" t="s">
        <v>66</v>
      </c>
      <c r="D254" s="148" t="e">
        <v>#REF!</v>
      </c>
      <c r="E254" s="737">
        <v>5200</v>
      </c>
      <c r="F254" s="847"/>
      <c r="G254" s="738" t="e">
        <v>#REF!</v>
      </c>
      <c r="H254" s="2"/>
      <c r="I254" s="2"/>
      <c r="J254" s="2"/>
      <c r="K254" s="2"/>
      <c r="L254" s="2"/>
      <c r="M254" s="2"/>
      <c r="N254" s="2"/>
      <c r="O254" s="2"/>
      <c r="P254" s="2"/>
      <c r="Q254" s="2"/>
      <c r="R254" s="2"/>
      <c r="S254" s="2"/>
    </row>
    <row r="255" spans="1:19" hidden="1">
      <c r="A255" s="152"/>
      <c r="B255" s="149"/>
      <c r="C255" s="154"/>
      <c r="D255" s="148"/>
      <c r="E255" s="737"/>
      <c r="F255" s="847"/>
      <c r="G255" s="738"/>
      <c r="H255" s="2"/>
      <c r="I255" s="2"/>
      <c r="J255" s="2"/>
      <c r="K255" s="2"/>
      <c r="L255" s="2"/>
      <c r="M255" s="2"/>
      <c r="N255" s="2"/>
      <c r="O255" s="2"/>
      <c r="P255" s="2"/>
      <c r="Q255" s="2"/>
      <c r="R255" s="2"/>
      <c r="S255" s="2"/>
    </row>
    <row r="256" spans="1:19" hidden="1">
      <c r="A256" s="152"/>
      <c r="B256" s="143" t="s">
        <v>80</v>
      </c>
      <c r="C256" s="148"/>
      <c r="D256" s="736"/>
      <c r="E256" s="737"/>
      <c r="F256" s="847"/>
      <c r="G256" s="738"/>
      <c r="H256" s="2"/>
      <c r="I256" s="2"/>
      <c r="J256" s="2"/>
      <c r="K256" s="2"/>
      <c r="L256" s="2"/>
      <c r="M256" s="2"/>
      <c r="N256" s="2"/>
      <c r="O256" s="2"/>
      <c r="P256" s="2"/>
      <c r="Q256" s="2"/>
      <c r="R256" s="2"/>
      <c r="S256" s="2"/>
    </row>
    <row r="257" spans="1:19" hidden="1">
      <c r="A257" s="152" t="s">
        <v>208</v>
      </c>
      <c r="B257" s="149" t="s">
        <v>73</v>
      </c>
      <c r="C257" s="154" t="s">
        <v>84</v>
      </c>
      <c r="D257" s="148" t="e">
        <v>#REF!</v>
      </c>
      <c r="E257" s="737">
        <v>320</v>
      </c>
      <c r="F257" s="847"/>
      <c r="G257" s="738" t="e">
        <v>#REF!</v>
      </c>
      <c r="H257" s="2"/>
      <c r="I257" s="2"/>
      <c r="J257" s="2"/>
      <c r="K257" s="2"/>
      <c r="L257" s="2"/>
      <c r="M257" s="2"/>
      <c r="N257" s="2"/>
      <c r="O257" s="2"/>
      <c r="P257" s="2"/>
      <c r="Q257" s="2"/>
      <c r="R257" s="2"/>
      <c r="S257" s="2"/>
    </row>
    <row r="258" spans="1:19" hidden="1">
      <c r="A258" s="152" t="s">
        <v>209</v>
      </c>
      <c r="B258" s="149" t="s">
        <v>108</v>
      </c>
      <c r="C258" s="154" t="s">
        <v>84</v>
      </c>
      <c r="D258" s="148" t="e">
        <v>#REF!</v>
      </c>
      <c r="E258" s="737">
        <v>320</v>
      </c>
      <c r="F258" s="847"/>
      <c r="G258" s="738" t="e">
        <v>#REF!</v>
      </c>
      <c r="H258" s="2"/>
      <c r="I258" s="2"/>
      <c r="J258" s="2"/>
      <c r="K258" s="2"/>
      <c r="L258" s="2"/>
      <c r="M258" s="2"/>
      <c r="N258" s="2"/>
      <c r="O258" s="2"/>
      <c r="P258" s="2"/>
      <c r="Q258" s="2"/>
      <c r="R258" s="2"/>
      <c r="S258" s="2"/>
    </row>
    <row r="259" spans="1:19" hidden="1">
      <c r="A259" s="152" t="s">
        <v>210</v>
      </c>
      <c r="B259" s="149" t="s">
        <v>110</v>
      </c>
      <c r="C259" s="154" t="s">
        <v>84</v>
      </c>
      <c r="D259" s="148" t="e">
        <v>#REF!</v>
      </c>
      <c r="E259" s="737">
        <v>320</v>
      </c>
      <c r="F259" s="847"/>
      <c r="G259" s="738" t="e">
        <v>#REF!</v>
      </c>
      <c r="H259" s="2"/>
      <c r="I259" s="2"/>
      <c r="J259" s="2"/>
      <c r="K259" s="2"/>
      <c r="L259" s="2"/>
      <c r="M259" s="2"/>
      <c r="N259" s="2"/>
      <c r="O259" s="2"/>
      <c r="P259" s="2"/>
      <c r="Q259" s="2"/>
      <c r="R259" s="2"/>
      <c r="S259" s="2"/>
    </row>
    <row r="260" spans="1:19" hidden="1">
      <c r="A260" s="152" t="s">
        <v>211</v>
      </c>
      <c r="B260" s="149" t="s">
        <v>75</v>
      </c>
      <c r="C260" s="154" t="s">
        <v>84</v>
      </c>
      <c r="D260" s="148" t="e">
        <v>#REF!</v>
      </c>
      <c r="E260" s="737">
        <v>320</v>
      </c>
      <c r="F260" s="847"/>
      <c r="G260" s="738" t="e">
        <v>#REF!</v>
      </c>
      <c r="H260" s="2"/>
      <c r="I260" s="2"/>
      <c r="J260" s="2"/>
      <c r="K260" s="2"/>
      <c r="L260" s="2"/>
      <c r="M260" s="2"/>
      <c r="N260" s="2"/>
      <c r="O260" s="2"/>
      <c r="P260" s="2"/>
      <c r="Q260" s="2"/>
      <c r="R260" s="2"/>
      <c r="S260" s="2"/>
    </row>
    <row r="261" spans="1:19" hidden="1">
      <c r="A261" s="152" t="s">
        <v>212</v>
      </c>
      <c r="B261" s="149" t="s">
        <v>113</v>
      </c>
      <c r="C261" s="154" t="s">
        <v>84</v>
      </c>
      <c r="D261" s="148">
        <v>12</v>
      </c>
      <c r="E261" s="737">
        <v>320</v>
      </c>
      <c r="F261" s="847"/>
      <c r="G261" s="738">
        <v>3840</v>
      </c>
      <c r="H261" s="2"/>
      <c r="I261" s="2"/>
      <c r="J261" s="2"/>
      <c r="K261" s="2"/>
      <c r="L261" s="2"/>
      <c r="M261" s="2"/>
      <c r="N261" s="2"/>
      <c r="O261" s="2"/>
      <c r="P261" s="2"/>
      <c r="Q261" s="2"/>
      <c r="R261" s="2"/>
      <c r="S261" s="2"/>
    </row>
    <row r="262" spans="1:19" hidden="1">
      <c r="A262" s="152" t="s">
        <v>213</v>
      </c>
      <c r="B262" s="149" t="s">
        <v>131</v>
      </c>
      <c r="C262" s="154" t="s">
        <v>84</v>
      </c>
      <c r="D262" s="148" t="e">
        <v>#REF!</v>
      </c>
      <c r="E262" s="737">
        <v>320</v>
      </c>
      <c r="F262" s="847"/>
      <c r="G262" s="738" t="e">
        <v>#REF!</v>
      </c>
      <c r="H262" s="2"/>
      <c r="I262" s="2"/>
      <c r="J262" s="2"/>
      <c r="K262" s="2"/>
      <c r="L262" s="2"/>
      <c r="M262" s="2"/>
      <c r="N262" s="2"/>
      <c r="O262" s="2"/>
      <c r="P262" s="2"/>
      <c r="Q262" s="2"/>
      <c r="R262" s="2"/>
      <c r="S262" s="2"/>
    </row>
    <row r="263" spans="1:19" hidden="1">
      <c r="A263" s="593"/>
      <c r="B263" s="189"/>
      <c r="C263" s="647"/>
      <c r="D263" s="750"/>
      <c r="E263" s="748"/>
      <c r="F263" s="850"/>
      <c r="G263" s="749"/>
      <c r="H263" s="2"/>
      <c r="I263" s="2"/>
      <c r="J263" s="2"/>
      <c r="K263" s="2"/>
      <c r="L263" s="2"/>
      <c r="M263" s="2"/>
      <c r="N263" s="2"/>
      <c r="O263" s="2"/>
      <c r="P263" s="2"/>
      <c r="Q263" s="2"/>
      <c r="R263" s="2"/>
      <c r="S263" s="2"/>
    </row>
    <row r="264" spans="1:19" hidden="1">
      <c r="A264" s="153"/>
      <c r="B264" s="143" t="s">
        <v>88</v>
      </c>
      <c r="C264" s="154"/>
      <c r="D264" s="148"/>
      <c r="E264" s="737"/>
      <c r="F264" s="847"/>
      <c r="G264" s="738"/>
      <c r="H264" s="2"/>
      <c r="I264" s="2"/>
      <c r="J264" s="2"/>
      <c r="K264" s="2"/>
      <c r="L264" s="2"/>
      <c r="M264" s="2"/>
      <c r="N264" s="2"/>
      <c r="O264" s="2"/>
      <c r="P264" s="2"/>
      <c r="Q264" s="2"/>
      <c r="R264" s="2"/>
      <c r="S264" s="2"/>
    </row>
    <row r="265" spans="1:19" ht="13.5" hidden="1" customHeight="1">
      <c r="A265" s="152" t="s">
        <v>214</v>
      </c>
      <c r="B265" s="149" t="s">
        <v>73</v>
      </c>
      <c r="C265" s="154"/>
      <c r="D265" s="743"/>
      <c r="E265" s="737"/>
      <c r="F265" s="847"/>
      <c r="G265" s="738"/>
      <c r="H265" s="2"/>
      <c r="I265" s="2"/>
      <c r="J265" s="2"/>
      <c r="K265" s="2"/>
      <c r="L265" s="2"/>
      <c r="M265" s="2"/>
      <c r="N265" s="2"/>
      <c r="O265" s="2"/>
      <c r="P265" s="2"/>
      <c r="Q265" s="2"/>
      <c r="R265" s="2"/>
      <c r="S265" s="2"/>
    </row>
    <row r="266" spans="1:19" hidden="1">
      <c r="A266" s="152" t="s">
        <v>90</v>
      </c>
      <c r="B266" s="149" t="s">
        <v>94</v>
      </c>
      <c r="C266" s="154" t="s">
        <v>92</v>
      </c>
      <c r="D266" s="743">
        <v>545.18518518518511</v>
      </c>
      <c r="E266" s="737">
        <v>29.5</v>
      </c>
      <c r="F266" s="847"/>
      <c r="G266" s="738">
        <v>16082.96296296296</v>
      </c>
      <c r="H266" s="2"/>
      <c r="I266" s="2"/>
      <c r="J266" s="2"/>
      <c r="K266" s="2"/>
      <c r="L266" s="2"/>
      <c r="M266" s="2"/>
      <c r="N266" s="2"/>
      <c r="O266" s="2"/>
      <c r="P266" s="2"/>
      <c r="Q266" s="2"/>
      <c r="R266" s="2"/>
      <c r="S266" s="2"/>
    </row>
    <row r="267" spans="1:19" hidden="1">
      <c r="A267" s="152" t="s">
        <v>95</v>
      </c>
      <c r="B267" s="149" t="s">
        <v>96</v>
      </c>
      <c r="C267" s="154" t="s">
        <v>92</v>
      </c>
      <c r="D267" s="743">
        <v>254.86222222222221</v>
      </c>
      <c r="E267" s="737">
        <v>29.5</v>
      </c>
      <c r="F267" s="847"/>
      <c r="G267" s="738">
        <v>7518.4355555555558</v>
      </c>
      <c r="H267" s="2"/>
      <c r="I267" s="2"/>
      <c r="J267" s="2"/>
      <c r="K267" s="2"/>
      <c r="L267" s="2"/>
      <c r="M267" s="2"/>
      <c r="N267" s="2"/>
      <c r="O267" s="2"/>
      <c r="P267" s="2"/>
      <c r="Q267" s="2"/>
      <c r="R267" s="2"/>
      <c r="S267" s="2"/>
    </row>
    <row r="268" spans="1:19" hidden="1">
      <c r="A268" s="152" t="s">
        <v>97</v>
      </c>
      <c r="B268" s="149" t="s">
        <v>100</v>
      </c>
      <c r="C268" s="154" t="s">
        <v>92</v>
      </c>
      <c r="D268" s="743">
        <v>111.34666666666666</v>
      </c>
      <c r="E268" s="737">
        <v>29.5</v>
      </c>
      <c r="F268" s="847"/>
      <c r="G268" s="738">
        <v>3284.7266666666665</v>
      </c>
      <c r="H268" s="2"/>
      <c r="I268" s="2"/>
      <c r="J268" s="2"/>
      <c r="K268" s="2"/>
      <c r="L268" s="2"/>
      <c r="M268" s="2"/>
      <c r="N268" s="2"/>
      <c r="O268" s="2"/>
      <c r="P268" s="2"/>
      <c r="Q268" s="2"/>
      <c r="R268" s="2"/>
      <c r="S268" s="2"/>
    </row>
    <row r="269" spans="1:19" ht="13.5" hidden="1" customHeight="1">
      <c r="A269" s="152" t="s">
        <v>215</v>
      </c>
      <c r="B269" s="149" t="s">
        <v>108</v>
      </c>
      <c r="C269" s="154"/>
      <c r="D269" s="743"/>
      <c r="E269" s="737"/>
      <c r="F269" s="847"/>
      <c r="G269" s="738"/>
      <c r="H269" s="2"/>
      <c r="I269" s="2"/>
      <c r="J269" s="2"/>
      <c r="K269" s="2"/>
      <c r="L269" s="2"/>
      <c r="M269" s="2"/>
      <c r="N269" s="2"/>
      <c r="O269" s="2"/>
      <c r="P269" s="2"/>
      <c r="Q269" s="2"/>
      <c r="R269" s="2"/>
      <c r="S269" s="2"/>
    </row>
    <row r="270" spans="1:19" hidden="1">
      <c r="A270" s="152" t="s">
        <v>90</v>
      </c>
      <c r="B270" s="149" t="s">
        <v>96</v>
      </c>
      <c r="C270" s="154" t="s">
        <v>92</v>
      </c>
      <c r="D270" s="743">
        <v>988.51599802469138</v>
      </c>
      <c r="E270" s="737">
        <v>29.5</v>
      </c>
      <c r="F270" s="847"/>
      <c r="G270" s="738">
        <v>29161.221941728396</v>
      </c>
      <c r="H270" s="2"/>
      <c r="I270" s="2"/>
      <c r="J270" s="2"/>
      <c r="K270" s="2"/>
      <c r="L270" s="2"/>
      <c r="M270" s="2"/>
      <c r="N270" s="2"/>
      <c r="O270" s="2"/>
      <c r="P270" s="2"/>
      <c r="Q270" s="2"/>
      <c r="R270" s="2"/>
      <c r="S270" s="2"/>
    </row>
    <row r="271" spans="1:19" hidden="1">
      <c r="A271" s="152" t="s">
        <v>95</v>
      </c>
      <c r="B271" s="149" t="s">
        <v>100</v>
      </c>
      <c r="C271" s="154" t="s">
        <v>92</v>
      </c>
      <c r="D271" s="743">
        <v>197.89961481481484</v>
      </c>
      <c r="E271" s="737">
        <v>29.5</v>
      </c>
      <c r="F271" s="847"/>
      <c r="G271" s="738">
        <v>5838.0386370370379</v>
      </c>
      <c r="H271" s="2"/>
      <c r="I271" s="2"/>
      <c r="J271" s="2"/>
      <c r="K271" s="2"/>
      <c r="L271" s="2"/>
      <c r="M271" s="2"/>
      <c r="N271" s="2"/>
      <c r="O271" s="2"/>
      <c r="P271" s="2"/>
      <c r="Q271" s="2"/>
      <c r="R271" s="2"/>
      <c r="S271" s="2"/>
    </row>
    <row r="272" spans="1:19" ht="13.5" hidden="1" customHeight="1">
      <c r="A272" s="152" t="s">
        <v>216</v>
      </c>
      <c r="B272" s="149" t="s">
        <v>110</v>
      </c>
      <c r="C272" s="154"/>
      <c r="D272" s="743"/>
      <c r="E272" s="737"/>
      <c r="F272" s="847"/>
      <c r="G272" s="738"/>
      <c r="H272" s="2"/>
      <c r="I272" s="2"/>
      <c r="J272" s="2"/>
      <c r="K272" s="2"/>
      <c r="L272" s="2"/>
      <c r="M272" s="2"/>
      <c r="N272" s="2"/>
      <c r="O272" s="2"/>
      <c r="P272" s="2"/>
      <c r="Q272" s="2"/>
      <c r="R272" s="2"/>
      <c r="S272" s="2"/>
    </row>
    <row r="273" spans="1:19" hidden="1">
      <c r="A273" s="152" t="s">
        <v>90</v>
      </c>
      <c r="B273" s="149" t="s">
        <v>98</v>
      </c>
      <c r="C273" s="154" t="s">
        <v>92</v>
      </c>
      <c r="D273" s="743">
        <v>2792.2974485596701</v>
      </c>
      <c r="E273" s="737">
        <v>29.5</v>
      </c>
      <c r="F273" s="847"/>
      <c r="G273" s="738">
        <v>82372.774732510268</v>
      </c>
      <c r="H273" s="2"/>
      <c r="I273" s="2"/>
      <c r="J273" s="2"/>
      <c r="K273" s="2"/>
      <c r="L273" s="2"/>
      <c r="M273" s="2"/>
      <c r="N273" s="2"/>
      <c r="O273" s="2"/>
      <c r="P273" s="2"/>
      <c r="Q273" s="2"/>
      <c r="R273" s="2"/>
      <c r="S273" s="2"/>
    </row>
    <row r="274" spans="1:19" ht="13.5" hidden="1" customHeight="1">
      <c r="A274" s="152" t="s">
        <v>217</v>
      </c>
      <c r="B274" s="149" t="s">
        <v>75</v>
      </c>
      <c r="C274" s="154"/>
      <c r="D274" s="743"/>
      <c r="E274" s="737"/>
      <c r="F274" s="847"/>
      <c r="G274" s="738"/>
      <c r="H274" s="2"/>
      <c r="I274" s="2"/>
      <c r="J274" s="2"/>
      <c r="K274" s="2"/>
      <c r="L274" s="2"/>
      <c r="M274" s="2"/>
      <c r="N274" s="2"/>
      <c r="O274" s="2"/>
      <c r="P274" s="2"/>
      <c r="Q274" s="2"/>
      <c r="R274" s="2"/>
      <c r="S274" s="2"/>
    </row>
    <row r="275" spans="1:19" hidden="1">
      <c r="A275" s="152" t="s">
        <v>90</v>
      </c>
      <c r="B275" s="149" t="s">
        <v>91</v>
      </c>
      <c r="C275" s="154" t="s">
        <v>92</v>
      </c>
      <c r="D275" s="743">
        <v>153.26853333333332</v>
      </c>
      <c r="E275" s="737">
        <v>29.5</v>
      </c>
      <c r="F275" s="847"/>
      <c r="G275" s="738">
        <v>4521.4217333333327</v>
      </c>
      <c r="H275" s="2"/>
      <c r="I275" s="2"/>
      <c r="J275" s="2"/>
      <c r="K275" s="2"/>
      <c r="L275" s="2"/>
      <c r="M275" s="2"/>
      <c r="N275" s="2"/>
      <c r="O275" s="2"/>
      <c r="P275" s="2"/>
      <c r="Q275" s="2"/>
      <c r="R275" s="2"/>
      <c r="S275" s="2"/>
    </row>
    <row r="276" spans="1:19" hidden="1">
      <c r="A276" s="152" t="s">
        <v>95</v>
      </c>
      <c r="B276" s="149" t="s">
        <v>98</v>
      </c>
      <c r="C276" s="154" t="s">
        <v>92</v>
      </c>
      <c r="D276" s="743">
        <v>41.805555555555557</v>
      </c>
      <c r="E276" s="737">
        <v>29.5</v>
      </c>
      <c r="F276" s="847"/>
      <c r="G276" s="738">
        <v>1233.2638888888889</v>
      </c>
      <c r="H276" s="2"/>
      <c r="I276" s="2"/>
      <c r="J276" s="2"/>
      <c r="K276" s="2"/>
      <c r="L276" s="2"/>
      <c r="M276" s="2"/>
      <c r="N276" s="2"/>
      <c r="O276" s="2"/>
      <c r="P276" s="2"/>
      <c r="Q276" s="2"/>
      <c r="R276" s="2"/>
      <c r="S276" s="2"/>
    </row>
    <row r="277" spans="1:19" ht="13.5" hidden="1" customHeight="1">
      <c r="A277" s="152" t="s">
        <v>218</v>
      </c>
      <c r="B277" s="149" t="s">
        <v>113</v>
      </c>
      <c r="C277" s="154"/>
      <c r="D277" s="743"/>
      <c r="E277" s="737"/>
      <c r="F277" s="847"/>
      <c r="G277" s="738"/>
      <c r="H277" s="2"/>
      <c r="I277" s="2"/>
      <c r="J277" s="2"/>
      <c r="K277" s="2"/>
      <c r="L277" s="2"/>
      <c r="M277" s="2"/>
      <c r="N277" s="2"/>
      <c r="O277" s="2"/>
      <c r="P277" s="2"/>
      <c r="Q277" s="2"/>
      <c r="R277" s="2"/>
      <c r="S277" s="2"/>
    </row>
    <row r="278" spans="1:19" hidden="1">
      <c r="A278" s="152" t="s">
        <v>90</v>
      </c>
      <c r="B278" s="149" t="s">
        <v>98</v>
      </c>
      <c r="C278" s="154" t="s">
        <v>92</v>
      </c>
      <c r="D278" s="743">
        <v>180</v>
      </c>
      <c r="E278" s="737">
        <v>29.5</v>
      </c>
      <c r="F278" s="847"/>
      <c r="G278" s="738">
        <v>5310</v>
      </c>
      <c r="H278" s="2"/>
      <c r="I278" s="2"/>
      <c r="J278" s="2"/>
      <c r="K278" s="2"/>
      <c r="L278" s="2"/>
      <c r="M278" s="2"/>
      <c r="N278" s="2"/>
      <c r="O278" s="2"/>
      <c r="P278" s="2"/>
      <c r="Q278" s="2"/>
      <c r="R278" s="2"/>
      <c r="S278" s="2"/>
    </row>
    <row r="279" spans="1:19" ht="13.5" hidden="1" customHeight="1">
      <c r="A279" s="152" t="s">
        <v>219</v>
      </c>
      <c r="B279" s="149" t="s">
        <v>131</v>
      </c>
      <c r="C279" s="154"/>
      <c r="D279" s="743"/>
      <c r="E279" s="737"/>
      <c r="F279" s="847"/>
      <c r="G279" s="738"/>
      <c r="H279" s="2"/>
      <c r="I279" s="2"/>
      <c r="J279" s="2"/>
      <c r="K279" s="2"/>
      <c r="L279" s="2"/>
      <c r="M279" s="2"/>
      <c r="N279" s="2"/>
      <c r="O279" s="2"/>
      <c r="P279" s="2"/>
      <c r="Q279" s="2"/>
      <c r="R279" s="2"/>
      <c r="S279" s="2"/>
    </row>
    <row r="280" spans="1:19" hidden="1">
      <c r="A280" s="152" t="s">
        <v>90</v>
      </c>
      <c r="B280" s="149" t="s">
        <v>98</v>
      </c>
      <c r="C280" s="154" t="s">
        <v>92</v>
      </c>
      <c r="D280" s="743">
        <v>32.548611111111107</v>
      </c>
      <c r="E280" s="737">
        <v>29.5</v>
      </c>
      <c r="F280" s="847"/>
      <c r="G280" s="738">
        <v>960.18402777777771</v>
      </c>
      <c r="H280" s="2"/>
      <c r="I280" s="2"/>
      <c r="J280" s="2"/>
      <c r="K280" s="2"/>
      <c r="L280" s="2"/>
      <c r="M280" s="2"/>
      <c r="N280" s="2"/>
      <c r="O280" s="2"/>
      <c r="P280" s="2"/>
      <c r="Q280" s="2"/>
      <c r="R280" s="2"/>
      <c r="S280" s="2"/>
    </row>
    <row r="281" spans="1:19" hidden="1">
      <c r="A281" s="152"/>
      <c r="B281" s="149"/>
      <c r="C281" s="154"/>
      <c r="D281" s="148"/>
      <c r="E281" s="737"/>
      <c r="F281" s="847"/>
      <c r="G281" s="738"/>
      <c r="H281" s="2"/>
      <c r="I281" s="2"/>
      <c r="J281" s="2"/>
      <c r="K281" s="2"/>
      <c r="L281" s="2"/>
      <c r="M281" s="2"/>
      <c r="N281" s="2"/>
      <c r="O281" s="2"/>
      <c r="P281" s="2"/>
      <c r="Q281" s="2"/>
      <c r="R281" s="2"/>
      <c r="S281" s="2"/>
    </row>
    <row r="282" spans="1:19" hidden="1">
      <c r="A282" s="150">
        <v>3.9</v>
      </c>
      <c r="B282" s="151" t="s">
        <v>220</v>
      </c>
      <c r="C282" s="743"/>
      <c r="D282" s="680"/>
      <c r="E282" s="678"/>
      <c r="F282" s="849"/>
      <c r="G282" s="744"/>
      <c r="H282" s="2"/>
      <c r="I282" s="2"/>
      <c r="J282" s="2"/>
      <c r="K282" s="2"/>
      <c r="L282" s="2"/>
      <c r="M282" s="2"/>
      <c r="N282" s="2"/>
      <c r="O282" s="2"/>
      <c r="P282" s="2"/>
      <c r="Q282" s="2"/>
      <c r="R282" s="2"/>
      <c r="S282" s="2"/>
    </row>
    <row r="283" spans="1:19" hidden="1">
      <c r="A283" s="152"/>
      <c r="B283" s="143" t="s">
        <v>105</v>
      </c>
      <c r="C283" s="148"/>
      <c r="D283" s="736"/>
      <c r="E283" s="737"/>
      <c r="F283" s="847"/>
      <c r="G283" s="738"/>
      <c r="H283" s="2"/>
      <c r="I283" s="2"/>
      <c r="J283" s="2"/>
      <c r="K283" s="2"/>
      <c r="L283" s="2"/>
      <c r="M283" s="2"/>
      <c r="N283" s="2"/>
      <c r="O283" s="2"/>
      <c r="P283" s="2"/>
      <c r="Q283" s="2"/>
      <c r="R283" s="2"/>
      <c r="S283" s="2"/>
    </row>
    <row r="284" spans="1:19" hidden="1">
      <c r="A284" s="152" t="s">
        <v>221</v>
      </c>
      <c r="B284" s="149" t="s">
        <v>73</v>
      </c>
      <c r="C284" s="169" t="s">
        <v>66</v>
      </c>
      <c r="D284" s="148" t="e">
        <v>#REF!</v>
      </c>
      <c r="E284" s="737">
        <v>5200</v>
      </c>
      <c r="F284" s="847"/>
      <c r="G284" s="738" t="e">
        <v>#REF!</v>
      </c>
      <c r="H284" s="2"/>
      <c r="I284" s="2"/>
      <c r="J284" s="2"/>
      <c r="K284" s="2"/>
      <c r="L284" s="2"/>
      <c r="M284" s="2"/>
      <c r="N284" s="2"/>
      <c r="O284" s="2"/>
      <c r="P284" s="2"/>
      <c r="Q284" s="2"/>
      <c r="R284" s="2"/>
      <c r="S284" s="2"/>
    </row>
    <row r="285" spans="1:19" hidden="1">
      <c r="A285" s="152" t="s">
        <v>222</v>
      </c>
      <c r="B285" s="149" t="s">
        <v>108</v>
      </c>
      <c r="C285" s="169" t="s">
        <v>66</v>
      </c>
      <c r="D285" s="148" t="e">
        <v>#REF!</v>
      </c>
      <c r="E285" s="737">
        <v>5200</v>
      </c>
      <c r="F285" s="847"/>
      <c r="G285" s="738" t="e">
        <v>#REF!</v>
      </c>
      <c r="H285" s="2"/>
      <c r="I285" s="2"/>
      <c r="J285" s="2"/>
      <c r="K285" s="2"/>
      <c r="L285" s="2"/>
      <c r="M285" s="2"/>
      <c r="N285" s="2"/>
      <c r="O285" s="2"/>
      <c r="P285" s="2"/>
      <c r="Q285" s="2"/>
      <c r="R285" s="2"/>
      <c r="S285" s="2"/>
    </row>
    <row r="286" spans="1:19" hidden="1">
      <c r="A286" s="152" t="s">
        <v>223</v>
      </c>
      <c r="B286" s="149" t="s">
        <v>110</v>
      </c>
      <c r="C286" s="169" t="s">
        <v>66</v>
      </c>
      <c r="D286" s="148" t="e">
        <v>#REF!</v>
      </c>
      <c r="E286" s="737">
        <v>5200</v>
      </c>
      <c r="F286" s="847"/>
      <c r="G286" s="738" t="e">
        <v>#REF!</v>
      </c>
      <c r="H286" s="2"/>
      <c r="I286" s="2"/>
      <c r="J286" s="2"/>
      <c r="K286" s="2"/>
      <c r="L286" s="2"/>
      <c r="M286" s="2"/>
      <c r="N286" s="2"/>
      <c r="O286" s="2"/>
      <c r="P286" s="2"/>
      <c r="Q286" s="2"/>
      <c r="R286" s="2"/>
      <c r="S286" s="2"/>
    </row>
    <row r="287" spans="1:19" hidden="1">
      <c r="A287" s="152" t="s">
        <v>224</v>
      </c>
      <c r="B287" s="149" t="s">
        <v>75</v>
      </c>
      <c r="C287" s="169" t="s">
        <v>66</v>
      </c>
      <c r="D287" s="148" t="e">
        <v>#REF!</v>
      </c>
      <c r="E287" s="737">
        <v>5200</v>
      </c>
      <c r="F287" s="847"/>
      <c r="G287" s="738" t="e">
        <v>#REF!</v>
      </c>
      <c r="H287" s="2"/>
      <c r="I287" s="2"/>
      <c r="J287" s="2"/>
      <c r="K287" s="2"/>
      <c r="L287" s="2"/>
      <c r="M287" s="2"/>
      <c r="N287" s="2"/>
      <c r="O287" s="2"/>
      <c r="P287" s="2"/>
      <c r="Q287" s="2"/>
      <c r="R287" s="2"/>
      <c r="S287" s="2"/>
    </row>
    <row r="288" spans="1:19" hidden="1">
      <c r="A288" s="152" t="s">
        <v>225</v>
      </c>
      <c r="B288" s="149" t="s">
        <v>131</v>
      </c>
      <c r="C288" s="169" t="s">
        <v>66</v>
      </c>
      <c r="D288" s="148" t="e">
        <v>#REF!</v>
      </c>
      <c r="E288" s="737">
        <v>5200</v>
      </c>
      <c r="F288" s="847"/>
      <c r="G288" s="738" t="e">
        <v>#REF!</v>
      </c>
      <c r="H288" s="2"/>
      <c r="I288" s="2"/>
      <c r="J288" s="2"/>
      <c r="K288" s="2"/>
      <c r="L288" s="2"/>
      <c r="M288" s="2"/>
      <c r="N288" s="2"/>
      <c r="O288" s="2"/>
      <c r="P288" s="2"/>
      <c r="Q288" s="2"/>
      <c r="R288" s="2"/>
      <c r="S288" s="2"/>
    </row>
    <row r="289" spans="1:19" hidden="1">
      <c r="A289" s="152"/>
      <c r="B289" s="149"/>
      <c r="C289" s="154"/>
      <c r="D289" s="148"/>
      <c r="E289" s="737"/>
      <c r="F289" s="847"/>
      <c r="G289" s="738"/>
      <c r="H289" s="2"/>
      <c r="I289" s="2"/>
      <c r="J289" s="2"/>
      <c r="K289" s="2"/>
      <c r="L289" s="2"/>
      <c r="M289" s="2"/>
      <c r="N289" s="2"/>
      <c r="O289" s="2"/>
      <c r="P289" s="2"/>
      <c r="Q289" s="2"/>
      <c r="R289" s="2"/>
      <c r="S289" s="2"/>
    </row>
    <row r="290" spans="1:19" hidden="1">
      <c r="A290" s="152"/>
      <c r="B290" s="143" t="s">
        <v>80</v>
      </c>
      <c r="C290" s="148"/>
      <c r="D290" s="736"/>
      <c r="E290" s="737"/>
      <c r="F290" s="847"/>
      <c r="G290" s="738"/>
      <c r="H290" s="2"/>
      <c r="I290" s="2"/>
      <c r="J290" s="2"/>
      <c r="K290" s="2"/>
      <c r="L290" s="2"/>
      <c r="M290" s="2"/>
      <c r="N290" s="2"/>
      <c r="O290" s="2"/>
      <c r="P290" s="2"/>
      <c r="Q290" s="2"/>
      <c r="R290" s="2"/>
      <c r="S290" s="2"/>
    </row>
    <row r="291" spans="1:19" hidden="1">
      <c r="A291" s="152" t="s">
        <v>226</v>
      </c>
      <c r="B291" s="149" t="s">
        <v>73</v>
      </c>
      <c r="C291" s="154" t="s">
        <v>84</v>
      </c>
      <c r="D291" s="148" t="e">
        <v>#REF!</v>
      </c>
      <c r="E291" s="737">
        <v>320</v>
      </c>
      <c r="F291" s="847"/>
      <c r="G291" s="738" t="e">
        <v>#REF!</v>
      </c>
      <c r="H291" s="2"/>
      <c r="I291" s="2"/>
      <c r="J291" s="2"/>
      <c r="K291" s="2"/>
      <c r="L291" s="2"/>
      <c r="M291" s="2"/>
      <c r="N291" s="2"/>
      <c r="O291" s="2"/>
      <c r="P291" s="2"/>
      <c r="Q291" s="2"/>
      <c r="R291" s="2"/>
      <c r="S291" s="2"/>
    </row>
    <row r="292" spans="1:19" hidden="1">
      <c r="A292" s="152" t="s">
        <v>227</v>
      </c>
      <c r="B292" s="149" t="s">
        <v>108</v>
      </c>
      <c r="C292" s="154" t="s">
        <v>84</v>
      </c>
      <c r="D292" s="148" t="e">
        <v>#REF!</v>
      </c>
      <c r="E292" s="737">
        <v>320</v>
      </c>
      <c r="F292" s="847"/>
      <c r="G292" s="738" t="e">
        <v>#REF!</v>
      </c>
      <c r="H292" s="2"/>
      <c r="I292" s="2"/>
      <c r="J292" s="2"/>
      <c r="K292" s="2"/>
      <c r="L292" s="2"/>
      <c r="M292" s="2"/>
      <c r="N292" s="2"/>
      <c r="O292" s="2"/>
      <c r="P292" s="2"/>
      <c r="Q292" s="2"/>
      <c r="R292" s="2"/>
      <c r="S292" s="2"/>
    </row>
    <row r="293" spans="1:19" hidden="1">
      <c r="A293" s="152" t="s">
        <v>228</v>
      </c>
      <c r="B293" s="149" t="s">
        <v>110</v>
      </c>
      <c r="C293" s="154" t="s">
        <v>84</v>
      </c>
      <c r="D293" s="148" t="e">
        <v>#REF!</v>
      </c>
      <c r="E293" s="737">
        <v>320</v>
      </c>
      <c r="F293" s="847"/>
      <c r="G293" s="738" t="e">
        <v>#REF!</v>
      </c>
      <c r="H293" s="2"/>
      <c r="I293" s="2"/>
      <c r="J293" s="2"/>
      <c r="K293" s="2"/>
      <c r="L293" s="2"/>
      <c r="M293" s="2"/>
      <c r="N293" s="2"/>
      <c r="O293" s="2"/>
      <c r="P293" s="2"/>
      <c r="Q293" s="2"/>
      <c r="R293" s="2"/>
      <c r="S293" s="2"/>
    </row>
    <row r="294" spans="1:19" hidden="1">
      <c r="A294" s="152" t="s">
        <v>229</v>
      </c>
      <c r="B294" s="149" t="s">
        <v>75</v>
      </c>
      <c r="C294" s="154" t="s">
        <v>84</v>
      </c>
      <c r="D294" s="148" t="e">
        <v>#REF!</v>
      </c>
      <c r="E294" s="737">
        <v>320</v>
      </c>
      <c r="F294" s="847"/>
      <c r="G294" s="738" t="e">
        <v>#REF!</v>
      </c>
      <c r="H294" s="2"/>
      <c r="I294" s="2"/>
      <c r="J294" s="2"/>
      <c r="K294" s="2"/>
      <c r="L294" s="2"/>
      <c r="M294" s="2"/>
      <c r="N294" s="2"/>
      <c r="O294" s="2"/>
      <c r="P294" s="2"/>
      <c r="Q294" s="2"/>
      <c r="R294" s="2"/>
      <c r="S294" s="2"/>
    </row>
    <row r="295" spans="1:19" hidden="1">
      <c r="A295" s="152" t="s">
        <v>230</v>
      </c>
      <c r="B295" s="149" t="s">
        <v>131</v>
      </c>
      <c r="C295" s="154" t="s">
        <v>84</v>
      </c>
      <c r="D295" s="148" t="e">
        <v>#REF!</v>
      </c>
      <c r="E295" s="737">
        <v>320</v>
      </c>
      <c r="F295" s="847"/>
      <c r="G295" s="738" t="e">
        <v>#REF!</v>
      </c>
      <c r="H295" s="2"/>
      <c r="I295" s="2"/>
      <c r="J295" s="2"/>
      <c r="K295" s="2"/>
      <c r="L295" s="2"/>
      <c r="M295" s="2"/>
      <c r="N295" s="2"/>
      <c r="O295" s="2"/>
      <c r="P295" s="2"/>
      <c r="Q295" s="2"/>
      <c r="R295" s="2"/>
      <c r="S295" s="2"/>
    </row>
    <row r="296" spans="1:19" hidden="1">
      <c r="A296" s="152"/>
      <c r="B296" s="149"/>
      <c r="C296" s="154"/>
      <c r="D296" s="148"/>
      <c r="E296" s="737"/>
      <c r="F296" s="847"/>
      <c r="G296" s="738"/>
      <c r="H296" s="2"/>
      <c r="I296" s="2"/>
      <c r="J296" s="2"/>
      <c r="K296" s="2"/>
      <c r="L296" s="2"/>
      <c r="M296" s="2"/>
      <c r="N296" s="2"/>
      <c r="O296" s="2"/>
      <c r="P296" s="2"/>
      <c r="Q296" s="2"/>
      <c r="R296" s="2"/>
      <c r="S296" s="2"/>
    </row>
    <row r="297" spans="1:19" hidden="1">
      <c r="A297" s="153"/>
      <c r="B297" s="143" t="s">
        <v>88</v>
      </c>
      <c r="C297" s="154"/>
      <c r="D297" s="148"/>
      <c r="E297" s="737"/>
      <c r="F297" s="847"/>
      <c r="G297" s="738"/>
      <c r="H297" s="2"/>
      <c r="I297" s="2"/>
      <c r="J297" s="2"/>
      <c r="K297" s="2"/>
      <c r="L297" s="2"/>
      <c r="M297" s="2"/>
      <c r="N297" s="2"/>
      <c r="O297" s="2"/>
      <c r="P297" s="2"/>
      <c r="Q297" s="2"/>
      <c r="R297" s="2"/>
      <c r="S297" s="2"/>
    </row>
    <row r="298" spans="1:19" ht="13.5" hidden="1" customHeight="1">
      <c r="A298" s="152" t="s">
        <v>231</v>
      </c>
      <c r="B298" s="149" t="s">
        <v>73</v>
      </c>
      <c r="C298" s="154"/>
      <c r="D298" s="743"/>
      <c r="E298" s="737"/>
      <c r="F298" s="847"/>
      <c r="G298" s="738"/>
      <c r="H298" s="2"/>
      <c r="I298" s="2"/>
      <c r="J298" s="2"/>
      <c r="K298" s="2"/>
      <c r="L298" s="2"/>
      <c r="M298" s="2"/>
      <c r="N298" s="2"/>
      <c r="O298" s="2"/>
      <c r="P298" s="2"/>
      <c r="Q298" s="2"/>
      <c r="R298" s="2"/>
      <c r="S298" s="2"/>
    </row>
    <row r="299" spans="1:19" hidden="1">
      <c r="A299" s="152" t="s">
        <v>90</v>
      </c>
      <c r="B299" s="149" t="s">
        <v>94</v>
      </c>
      <c r="C299" s="154" t="s">
        <v>92</v>
      </c>
      <c r="D299" s="743">
        <v>613.33333333333326</v>
      </c>
      <c r="E299" s="737">
        <v>29.5</v>
      </c>
      <c r="F299" s="847"/>
      <c r="G299" s="738">
        <v>18093.333333333332</v>
      </c>
      <c r="H299" s="2"/>
      <c r="I299" s="2"/>
      <c r="J299" s="2"/>
      <c r="K299" s="2"/>
      <c r="L299" s="2"/>
      <c r="M299" s="2"/>
      <c r="N299" s="2"/>
      <c r="O299" s="2"/>
      <c r="P299" s="2"/>
      <c r="Q299" s="2"/>
      <c r="R299" s="2"/>
      <c r="S299" s="2"/>
    </row>
    <row r="300" spans="1:19" hidden="1">
      <c r="A300" s="152" t="s">
        <v>95</v>
      </c>
      <c r="B300" s="149" t="s">
        <v>96</v>
      </c>
      <c r="C300" s="154" t="s">
        <v>92</v>
      </c>
      <c r="D300" s="743">
        <v>84.954074074074072</v>
      </c>
      <c r="E300" s="737">
        <v>29.5</v>
      </c>
      <c r="F300" s="847"/>
      <c r="G300" s="738">
        <v>2506.1451851851853</v>
      </c>
      <c r="H300" s="2"/>
      <c r="I300" s="2"/>
      <c r="J300" s="2"/>
      <c r="K300" s="2"/>
      <c r="L300" s="2"/>
      <c r="M300" s="2"/>
      <c r="N300" s="2"/>
      <c r="O300" s="2"/>
      <c r="P300" s="2"/>
      <c r="Q300" s="2"/>
      <c r="R300" s="2"/>
      <c r="S300" s="2"/>
    </row>
    <row r="301" spans="1:19" hidden="1">
      <c r="A301" s="152" t="s">
        <v>97</v>
      </c>
      <c r="B301" s="149" t="s">
        <v>100</v>
      </c>
      <c r="C301" s="154" t="s">
        <v>92</v>
      </c>
      <c r="D301" s="743">
        <v>81.013333333333335</v>
      </c>
      <c r="E301" s="737">
        <v>29.5</v>
      </c>
      <c r="F301" s="847"/>
      <c r="G301" s="738">
        <v>2389.8933333333334</v>
      </c>
      <c r="H301" s="2"/>
      <c r="I301" s="2"/>
      <c r="J301" s="2"/>
      <c r="K301" s="2"/>
      <c r="L301" s="2"/>
      <c r="M301" s="2"/>
      <c r="N301" s="2"/>
      <c r="O301" s="2"/>
      <c r="P301" s="2"/>
      <c r="Q301" s="2"/>
      <c r="R301" s="2"/>
      <c r="S301" s="2"/>
    </row>
    <row r="302" spans="1:19" ht="13.5" hidden="1" customHeight="1">
      <c r="A302" s="152" t="s">
        <v>232</v>
      </c>
      <c r="B302" s="149" t="s">
        <v>108</v>
      </c>
      <c r="C302" s="154"/>
      <c r="D302" s="743"/>
      <c r="E302" s="737"/>
      <c r="F302" s="847"/>
      <c r="G302" s="738"/>
      <c r="H302" s="2"/>
      <c r="I302" s="2"/>
      <c r="J302" s="2"/>
      <c r="K302" s="2"/>
      <c r="L302" s="2"/>
      <c r="M302" s="2"/>
      <c r="N302" s="2"/>
      <c r="O302" s="2"/>
      <c r="P302" s="2"/>
      <c r="Q302" s="2"/>
      <c r="R302" s="2"/>
      <c r="S302" s="2"/>
    </row>
    <row r="303" spans="1:19" hidden="1">
      <c r="A303" s="152" t="s">
        <v>90</v>
      </c>
      <c r="B303" s="149" t="s">
        <v>96</v>
      </c>
      <c r="C303" s="154" t="s">
        <v>92</v>
      </c>
      <c r="D303" s="743">
        <v>69.724707818930028</v>
      </c>
      <c r="E303" s="737">
        <v>29.5</v>
      </c>
      <c r="F303" s="847"/>
      <c r="G303" s="738">
        <v>2056.8788806584357</v>
      </c>
      <c r="H303" s="2"/>
      <c r="I303" s="2"/>
      <c r="J303" s="2"/>
      <c r="K303" s="2"/>
      <c r="L303" s="2"/>
      <c r="M303" s="2"/>
      <c r="N303" s="2"/>
      <c r="O303" s="2"/>
      <c r="P303" s="2"/>
      <c r="Q303" s="2"/>
      <c r="R303" s="2"/>
      <c r="S303" s="2"/>
    </row>
    <row r="304" spans="1:19" hidden="1">
      <c r="A304" s="152" t="s">
        <v>95</v>
      </c>
      <c r="B304" s="149" t="s">
        <v>100</v>
      </c>
      <c r="C304" s="154" t="s">
        <v>92</v>
      </c>
      <c r="D304" s="743">
        <v>17.208888888888893</v>
      </c>
      <c r="E304" s="737">
        <v>29.5</v>
      </c>
      <c r="F304" s="847"/>
      <c r="G304" s="738">
        <v>507.66222222222234</v>
      </c>
      <c r="H304" s="2"/>
      <c r="I304" s="2"/>
      <c r="J304" s="2"/>
      <c r="K304" s="2"/>
      <c r="L304" s="2"/>
      <c r="M304" s="2"/>
      <c r="N304" s="2"/>
      <c r="O304" s="2"/>
      <c r="P304" s="2"/>
      <c r="Q304" s="2"/>
      <c r="R304" s="2"/>
      <c r="S304" s="2"/>
    </row>
    <row r="305" spans="1:19" ht="13.5" hidden="1" customHeight="1">
      <c r="A305" s="152" t="s">
        <v>233</v>
      </c>
      <c r="B305" s="149" t="s">
        <v>110</v>
      </c>
      <c r="C305" s="154"/>
      <c r="D305" s="743"/>
      <c r="E305" s="737"/>
      <c r="F305" s="847"/>
      <c r="G305" s="738"/>
      <c r="H305" s="2"/>
      <c r="I305" s="2"/>
      <c r="J305" s="2"/>
      <c r="K305" s="2"/>
      <c r="L305" s="2"/>
      <c r="M305" s="2"/>
      <c r="N305" s="2"/>
      <c r="O305" s="2"/>
      <c r="P305" s="2"/>
      <c r="Q305" s="2"/>
      <c r="R305" s="2"/>
      <c r="S305" s="2"/>
    </row>
    <row r="306" spans="1:19" hidden="1">
      <c r="A306" s="152" t="s">
        <v>90</v>
      </c>
      <c r="B306" s="149" t="s">
        <v>98</v>
      </c>
      <c r="C306" s="154" t="s">
        <v>92</v>
      </c>
      <c r="D306" s="743">
        <v>2065.818024691358</v>
      </c>
      <c r="E306" s="737">
        <v>29.5</v>
      </c>
      <c r="F306" s="847"/>
      <c r="G306" s="738">
        <v>60941.631728395063</v>
      </c>
      <c r="H306" s="2"/>
      <c r="I306" s="2"/>
      <c r="J306" s="2"/>
      <c r="K306" s="2"/>
      <c r="L306" s="2"/>
      <c r="M306" s="2"/>
      <c r="N306" s="2"/>
      <c r="O306" s="2"/>
      <c r="P306" s="2"/>
      <c r="Q306" s="2"/>
      <c r="R306" s="2"/>
      <c r="S306" s="2"/>
    </row>
    <row r="307" spans="1:19" ht="13.5" hidden="1" customHeight="1">
      <c r="A307" s="152" t="s">
        <v>234</v>
      </c>
      <c r="B307" s="149" t="s">
        <v>75</v>
      </c>
      <c r="C307" s="154"/>
      <c r="D307" s="743"/>
      <c r="E307" s="737"/>
      <c r="F307" s="847"/>
      <c r="G307" s="738"/>
      <c r="H307" s="2"/>
      <c r="I307" s="2"/>
      <c r="J307" s="2"/>
      <c r="K307" s="2"/>
      <c r="L307" s="2"/>
      <c r="M307" s="2"/>
      <c r="N307" s="2"/>
      <c r="O307" s="2"/>
      <c r="P307" s="2"/>
      <c r="Q307" s="2"/>
      <c r="R307" s="2"/>
      <c r="S307" s="2"/>
    </row>
    <row r="308" spans="1:19" hidden="1">
      <c r="A308" s="152" t="s">
        <v>90</v>
      </c>
      <c r="B308" s="149" t="s">
        <v>91</v>
      </c>
      <c r="C308" s="154" t="s">
        <v>92</v>
      </c>
      <c r="D308" s="743">
        <v>204.35804444444443</v>
      </c>
      <c r="E308" s="737">
        <v>29.5</v>
      </c>
      <c r="F308" s="847"/>
      <c r="G308" s="738">
        <v>6028.5623111111108</v>
      </c>
      <c r="H308" s="2"/>
      <c r="I308" s="2"/>
      <c r="J308" s="2"/>
      <c r="K308" s="2"/>
      <c r="L308" s="2"/>
      <c r="M308" s="2"/>
      <c r="N308" s="2"/>
      <c r="O308" s="2"/>
      <c r="P308" s="2"/>
      <c r="Q308" s="2"/>
      <c r="R308" s="2"/>
      <c r="S308" s="2"/>
    </row>
    <row r="309" spans="1:19" hidden="1">
      <c r="A309" s="152" t="s">
        <v>95</v>
      </c>
      <c r="B309" s="149" t="s">
        <v>98</v>
      </c>
      <c r="C309" s="154" t="s">
        <v>92</v>
      </c>
      <c r="D309" s="743">
        <v>73.436213991769549</v>
      </c>
      <c r="E309" s="737">
        <v>29.5</v>
      </c>
      <c r="F309" s="847"/>
      <c r="G309" s="738">
        <v>2166.3683127572017</v>
      </c>
      <c r="H309" s="2"/>
      <c r="I309" s="2"/>
      <c r="J309" s="2"/>
      <c r="K309" s="2"/>
      <c r="L309" s="2"/>
      <c r="M309" s="2"/>
      <c r="N309" s="2"/>
      <c r="O309" s="2"/>
      <c r="P309" s="2"/>
      <c r="Q309" s="2"/>
      <c r="R309" s="2"/>
      <c r="S309" s="2"/>
    </row>
    <row r="310" spans="1:19" ht="13.5" hidden="1" customHeight="1">
      <c r="A310" s="152" t="s">
        <v>235</v>
      </c>
      <c r="B310" s="149" t="s">
        <v>131</v>
      </c>
      <c r="C310" s="154"/>
      <c r="D310" s="743"/>
      <c r="E310" s="737"/>
      <c r="F310" s="847"/>
      <c r="G310" s="738"/>
      <c r="H310" s="2"/>
      <c r="I310" s="2"/>
      <c r="J310" s="2"/>
      <c r="K310" s="2"/>
      <c r="L310" s="2"/>
      <c r="M310" s="2"/>
      <c r="N310" s="2"/>
      <c r="O310" s="2"/>
      <c r="P310" s="2"/>
      <c r="Q310" s="2"/>
      <c r="R310" s="2"/>
      <c r="S310" s="2"/>
    </row>
    <row r="311" spans="1:19" hidden="1">
      <c r="A311" s="152" t="s">
        <v>90</v>
      </c>
      <c r="B311" s="149" t="s">
        <v>98</v>
      </c>
      <c r="C311" s="154" t="s">
        <v>92</v>
      </c>
      <c r="D311" s="743">
        <v>314.49058641975307</v>
      </c>
      <c r="E311" s="737">
        <v>29.5</v>
      </c>
      <c r="F311" s="847"/>
      <c r="G311" s="738">
        <v>9277.4722993827163</v>
      </c>
      <c r="H311" s="2"/>
      <c r="I311" s="2"/>
      <c r="J311" s="2"/>
      <c r="K311" s="2"/>
      <c r="L311" s="2"/>
      <c r="M311" s="2"/>
      <c r="N311" s="2"/>
      <c r="O311" s="2"/>
      <c r="P311" s="2"/>
      <c r="Q311" s="2"/>
      <c r="R311" s="2"/>
      <c r="S311" s="2"/>
    </row>
    <row r="312" spans="1:19" hidden="1">
      <c r="A312" s="152"/>
      <c r="B312" s="149"/>
      <c r="C312" s="154"/>
      <c r="D312" s="148"/>
      <c r="E312" s="737"/>
      <c r="F312" s="847"/>
      <c r="G312" s="738"/>
      <c r="H312" s="2"/>
      <c r="I312" s="2"/>
      <c r="J312" s="2"/>
      <c r="K312" s="2"/>
      <c r="L312" s="2"/>
      <c r="M312" s="2"/>
      <c r="N312" s="2"/>
      <c r="O312" s="2"/>
      <c r="P312" s="2"/>
      <c r="Q312" s="2"/>
      <c r="R312" s="2"/>
      <c r="S312" s="2"/>
    </row>
    <row r="313" spans="1:19" hidden="1">
      <c r="A313" s="617">
        <v>3.1</v>
      </c>
      <c r="B313" s="146" t="s">
        <v>236</v>
      </c>
      <c r="C313" s="736"/>
      <c r="D313" s="148"/>
      <c r="E313" s="737"/>
      <c r="F313" s="847"/>
      <c r="G313" s="738"/>
      <c r="H313" s="2"/>
      <c r="I313" s="2"/>
      <c r="J313" s="2"/>
      <c r="K313" s="2"/>
      <c r="L313" s="2"/>
      <c r="M313" s="2"/>
      <c r="N313" s="2"/>
      <c r="O313" s="2"/>
      <c r="P313" s="2"/>
      <c r="Q313" s="2"/>
      <c r="R313" s="2"/>
      <c r="S313" s="2"/>
    </row>
    <row r="314" spans="1:19" ht="23.25" hidden="1">
      <c r="A314" s="152"/>
      <c r="B314" s="168" t="s">
        <v>237</v>
      </c>
      <c r="C314" s="736"/>
      <c r="D314" s="148"/>
      <c r="E314" s="737"/>
      <c r="F314" s="847"/>
      <c r="G314" s="738"/>
      <c r="H314" s="2"/>
      <c r="I314" s="2"/>
      <c r="J314" s="2"/>
      <c r="K314" s="2"/>
      <c r="L314" s="2"/>
      <c r="M314" s="2"/>
      <c r="N314" s="2"/>
      <c r="O314" s="2"/>
      <c r="P314" s="2"/>
      <c r="Q314" s="2"/>
      <c r="R314" s="2"/>
      <c r="S314" s="2"/>
    </row>
    <row r="315" spans="1:19" ht="23.25" hidden="1">
      <c r="A315" s="152" t="s">
        <v>238</v>
      </c>
      <c r="B315" s="168" t="s">
        <v>239</v>
      </c>
      <c r="C315" s="169" t="s">
        <v>45</v>
      </c>
      <c r="D315" s="745">
        <v>1</v>
      </c>
      <c r="E315" s="737">
        <v>16800</v>
      </c>
      <c r="F315" s="847"/>
      <c r="G315" s="738">
        <v>16800</v>
      </c>
      <c r="H315" s="2"/>
      <c r="I315" s="2"/>
      <c r="J315" s="2"/>
      <c r="K315" s="2"/>
      <c r="L315" s="2"/>
      <c r="M315" s="2"/>
      <c r="N315" s="2"/>
      <c r="O315" s="2"/>
      <c r="P315" s="2"/>
      <c r="Q315" s="2"/>
      <c r="R315" s="2"/>
      <c r="S315" s="2"/>
    </row>
    <row r="316" spans="1:19" ht="40.5" hidden="1" customHeight="1">
      <c r="A316" s="152" t="s">
        <v>240</v>
      </c>
      <c r="B316" s="147" t="s">
        <v>241</v>
      </c>
      <c r="C316" s="169" t="s">
        <v>45</v>
      </c>
      <c r="D316" s="745">
        <v>1</v>
      </c>
      <c r="E316" s="737">
        <v>13500</v>
      </c>
      <c r="F316" s="847"/>
      <c r="G316" s="738">
        <v>13500</v>
      </c>
      <c r="H316" s="2"/>
      <c r="I316" s="2"/>
      <c r="J316" s="2"/>
      <c r="K316" s="2"/>
      <c r="L316" s="2"/>
      <c r="M316" s="2"/>
      <c r="N316" s="2"/>
      <c r="O316" s="2"/>
      <c r="P316" s="2"/>
      <c r="Q316" s="2"/>
      <c r="R316" s="2"/>
      <c r="S316" s="2"/>
    </row>
    <row r="317" spans="1:19" hidden="1">
      <c r="A317" s="593"/>
      <c r="B317" s="189"/>
      <c r="C317" s="647"/>
      <c r="D317" s="750"/>
      <c r="E317" s="748"/>
      <c r="F317" s="850"/>
      <c r="G317" s="749"/>
      <c r="H317" s="2"/>
      <c r="I317" s="2"/>
      <c r="J317" s="2"/>
      <c r="K317" s="2"/>
      <c r="L317" s="2"/>
      <c r="M317" s="2"/>
      <c r="N317" s="2"/>
      <c r="O317" s="2"/>
      <c r="P317" s="2"/>
      <c r="Q317" s="2"/>
      <c r="R317" s="2"/>
      <c r="S317" s="2"/>
    </row>
    <row r="318" spans="1:19" hidden="1">
      <c r="A318" s="195" t="s">
        <v>242</v>
      </c>
      <c r="B318" s="192"/>
      <c r="C318" s="192"/>
      <c r="D318" s="908"/>
      <c r="E318" s="910"/>
      <c r="F318" s="835"/>
      <c r="G318" s="444" t="e">
        <v>#REF!</v>
      </c>
      <c r="H318" s="2"/>
      <c r="I318" s="2"/>
      <c r="J318" s="2"/>
      <c r="K318" s="2"/>
      <c r="L318" s="2"/>
      <c r="M318" s="2"/>
      <c r="N318" s="2"/>
      <c r="O318" s="2"/>
      <c r="P318" s="2"/>
      <c r="Q318" s="2"/>
      <c r="R318" s="2"/>
      <c r="S318" s="2"/>
    </row>
    <row r="319" spans="1:19" hidden="1">
      <c r="A319" s="567" t="s">
        <v>52</v>
      </c>
      <c r="B319" s="11"/>
      <c r="C319" s="11"/>
      <c r="D319" s="909"/>
      <c r="E319" s="911"/>
      <c r="F319" s="836"/>
      <c r="G319" s="445"/>
      <c r="H319" s="2"/>
      <c r="I319" s="2"/>
      <c r="J319" s="2"/>
      <c r="K319" s="2"/>
      <c r="L319" s="2"/>
      <c r="M319" s="2"/>
      <c r="N319" s="2"/>
      <c r="O319" s="2"/>
      <c r="P319" s="2"/>
      <c r="Q319" s="2"/>
      <c r="R319" s="2"/>
      <c r="S319" s="2"/>
    </row>
    <row r="320" spans="1:19">
      <c r="A320" s="139"/>
      <c r="B320" s="140"/>
      <c r="C320" s="140"/>
      <c r="D320" s="140"/>
      <c r="E320" s="141"/>
      <c r="F320" s="848"/>
      <c r="G320" s="142"/>
      <c r="H320" s="2"/>
      <c r="I320" s="2"/>
      <c r="J320" s="2"/>
      <c r="K320" s="2"/>
      <c r="L320" s="2"/>
      <c r="M320" s="2"/>
      <c r="N320" s="2"/>
      <c r="O320" s="2"/>
      <c r="P320" s="2"/>
      <c r="Q320" s="2"/>
      <c r="R320" s="2"/>
      <c r="S320" s="2"/>
    </row>
    <row r="321" spans="1:19">
      <c r="A321" s="152"/>
      <c r="B321" s="143" t="s">
        <v>11</v>
      </c>
      <c r="C321" s="148"/>
      <c r="D321" s="736"/>
      <c r="E321" s="737"/>
      <c r="F321" s="847"/>
      <c r="G321" s="738"/>
      <c r="H321" s="2"/>
      <c r="I321" s="673"/>
      <c r="J321" s="673"/>
      <c r="K321" s="673"/>
      <c r="L321" s="673"/>
      <c r="M321" s="673"/>
      <c r="N321" s="673"/>
      <c r="O321" s="2"/>
      <c r="P321" s="2"/>
      <c r="Q321" s="2"/>
      <c r="R321" s="2"/>
      <c r="S321" s="2"/>
    </row>
    <row r="322" spans="1:19">
      <c r="A322" s="145">
        <v>2.1</v>
      </c>
      <c r="B322" s="143" t="s">
        <v>29</v>
      </c>
      <c r="C322" s="148"/>
      <c r="D322" s="736"/>
      <c r="E322" s="737"/>
      <c r="F322" s="847"/>
      <c r="G322" s="738"/>
      <c r="H322" s="2"/>
      <c r="I322" s="751"/>
      <c r="J322" s="751"/>
      <c r="K322" s="751"/>
      <c r="L322" s="751"/>
      <c r="M322" s="751"/>
      <c r="N322" s="751"/>
      <c r="O322" s="2"/>
      <c r="P322" s="2"/>
      <c r="Q322" s="2"/>
      <c r="R322" s="2"/>
      <c r="S322" s="2"/>
    </row>
    <row r="323" spans="1:19" ht="25.5" customHeight="1">
      <c r="A323" s="152"/>
      <c r="B323" s="170" t="s">
        <v>243</v>
      </c>
      <c r="C323" s="148" t="s">
        <v>57</v>
      </c>
      <c r="D323" s="736"/>
      <c r="E323" s="737"/>
      <c r="F323" s="847"/>
      <c r="G323" s="738"/>
      <c r="H323" s="2"/>
      <c r="I323" s="673"/>
      <c r="J323" s="673"/>
      <c r="K323" s="673"/>
      <c r="L323" s="673"/>
      <c r="M323" s="673"/>
      <c r="N323" s="673"/>
      <c r="O323" s="2"/>
      <c r="P323" s="2"/>
      <c r="Q323" s="2"/>
      <c r="R323" s="2"/>
      <c r="S323" s="2"/>
    </row>
    <row r="324" spans="1:19" ht="38.25" customHeight="1">
      <c r="A324" s="152"/>
      <c r="B324" s="157" t="s">
        <v>244</v>
      </c>
      <c r="C324" s="148" t="s">
        <v>57</v>
      </c>
      <c r="D324" s="736"/>
      <c r="E324" s="737"/>
      <c r="F324" s="847"/>
      <c r="G324" s="738"/>
      <c r="H324" s="2"/>
      <c r="I324" s="673"/>
      <c r="J324" s="673"/>
      <c r="K324" s="673"/>
      <c r="L324" s="673"/>
      <c r="M324" s="673"/>
      <c r="N324" s="673"/>
      <c r="O324" s="2"/>
      <c r="P324" s="2"/>
      <c r="Q324" s="2"/>
      <c r="R324" s="2"/>
      <c r="S324" s="2"/>
    </row>
    <row r="325" spans="1:19" ht="23.25">
      <c r="A325" s="152"/>
      <c r="B325" s="157" t="s">
        <v>245</v>
      </c>
      <c r="C325" s="148" t="s">
        <v>57</v>
      </c>
      <c r="D325" s="736"/>
      <c r="E325" s="737"/>
      <c r="F325" s="847"/>
      <c r="G325" s="738"/>
      <c r="H325" s="2"/>
      <c r="I325" s="673"/>
      <c r="J325" s="673"/>
      <c r="K325" s="669"/>
      <c r="L325" s="673"/>
      <c r="M325" s="673"/>
      <c r="N325" s="673"/>
      <c r="O325" s="2"/>
      <c r="P325" s="2"/>
      <c r="Q325" s="2"/>
      <c r="R325" s="2"/>
      <c r="S325" s="2"/>
    </row>
    <row r="326" spans="1:19" ht="54" customHeight="1">
      <c r="A326" s="152"/>
      <c r="B326" s="170" t="s">
        <v>246</v>
      </c>
      <c r="C326" s="148" t="s">
        <v>57</v>
      </c>
      <c r="D326" s="736"/>
      <c r="E326" s="737"/>
      <c r="F326" s="847"/>
      <c r="G326" s="738"/>
      <c r="H326" s="2"/>
      <c r="I326" s="2"/>
      <c r="J326" s="2"/>
      <c r="K326" s="673"/>
      <c r="L326" s="2"/>
      <c r="M326" s="673"/>
      <c r="N326" s="2"/>
      <c r="O326" s="2"/>
      <c r="P326" s="2"/>
      <c r="Q326" s="2"/>
      <c r="R326" s="2"/>
      <c r="S326" s="2"/>
    </row>
    <row r="327" spans="1:19" ht="54.75" customHeight="1">
      <c r="A327" s="152"/>
      <c r="B327" s="170" t="s">
        <v>247</v>
      </c>
      <c r="C327" s="148" t="s">
        <v>57</v>
      </c>
      <c r="D327" s="736"/>
      <c r="E327" s="737"/>
      <c r="F327" s="847"/>
      <c r="G327" s="738"/>
      <c r="H327" s="2"/>
      <c r="I327" s="2"/>
      <c r="J327" s="2"/>
      <c r="K327" s="2"/>
      <c r="L327" s="2"/>
      <c r="M327" s="673"/>
      <c r="N327" s="2"/>
      <c r="O327" s="2"/>
      <c r="P327" s="2"/>
      <c r="Q327" s="2"/>
      <c r="R327" s="2"/>
      <c r="S327" s="2"/>
    </row>
    <row r="328" spans="1:19">
      <c r="A328" s="152"/>
      <c r="B328" s="147"/>
      <c r="C328" s="148"/>
      <c r="D328" s="736"/>
      <c r="E328" s="737"/>
      <c r="F328" s="847"/>
      <c r="G328" s="738"/>
      <c r="H328" s="2"/>
      <c r="I328" s="2"/>
      <c r="J328" s="2"/>
      <c r="K328" s="2"/>
      <c r="L328" s="673"/>
      <c r="M328" s="673"/>
      <c r="N328" s="2"/>
      <c r="O328" s="2"/>
      <c r="P328" s="2"/>
      <c r="Q328" s="2"/>
      <c r="R328" s="2"/>
      <c r="S328" s="2"/>
    </row>
    <row r="329" spans="1:19" s="3" customFormat="1">
      <c r="A329" s="150">
        <v>2.2000000000000002</v>
      </c>
      <c r="B329" s="155" t="s">
        <v>248</v>
      </c>
      <c r="C329" s="680"/>
      <c r="D329" s="743"/>
      <c r="E329" s="678"/>
      <c r="F329" s="849"/>
      <c r="G329" s="744"/>
      <c r="H329" s="673"/>
      <c r="I329" s="2"/>
      <c r="J329" s="2"/>
      <c r="K329" s="2"/>
      <c r="L329" s="673"/>
      <c r="M329" s="673"/>
      <c r="N329" s="2"/>
      <c r="O329" s="673"/>
      <c r="P329" s="673"/>
      <c r="Q329" s="673"/>
      <c r="R329" s="673"/>
      <c r="S329" s="673"/>
    </row>
    <row r="330" spans="1:19" s="3" customFormat="1">
      <c r="A330" s="150"/>
      <c r="B330" s="673"/>
      <c r="C330" s="680"/>
      <c r="D330" s="743"/>
      <c r="E330" s="678"/>
      <c r="F330" s="849"/>
      <c r="G330" s="744"/>
      <c r="H330" s="673"/>
      <c r="I330" s="2"/>
      <c r="J330" s="2"/>
      <c r="K330" s="2"/>
      <c r="L330" s="673"/>
      <c r="M330" s="673"/>
      <c r="N330" s="2"/>
      <c r="O330" s="673"/>
      <c r="P330" s="673"/>
      <c r="Q330" s="673"/>
      <c r="R330" s="673"/>
      <c r="S330" s="673"/>
    </row>
    <row r="331" spans="1:19" s="3" customFormat="1" ht="13.5">
      <c r="A331" s="156" t="s">
        <v>249</v>
      </c>
      <c r="B331" s="670" t="s">
        <v>250</v>
      </c>
      <c r="C331" s="169" t="s">
        <v>84</v>
      </c>
      <c r="D331" s="752">
        <v>20.46</v>
      </c>
      <c r="E331" s="678">
        <v>0</v>
      </c>
      <c r="F331" s="678">
        <v>0</v>
      </c>
      <c r="G331" s="738">
        <f>D331*E331+F331</f>
        <v>0</v>
      </c>
      <c r="H331" s="673"/>
      <c r="I331" s="2"/>
      <c r="J331" s="2"/>
      <c r="K331" s="2"/>
      <c r="L331" s="673"/>
      <c r="M331" s="673"/>
      <c r="N331" s="2"/>
      <c r="O331" s="673"/>
      <c r="P331" s="673"/>
      <c r="Q331" s="673"/>
      <c r="R331" s="673"/>
      <c r="S331" s="673"/>
    </row>
    <row r="332" spans="1:19" s="3" customFormat="1" ht="13.5">
      <c r="A332" s="156" t="s">
        <v>251</v>
      </c>
      <c r="B332" s="670" t="s">
        <v>252</v>
      </c>
      <c r="C332" s="169" t="s">
        <v>84</v>
      </c>
      <c r="D332" s="752">
        <v>2.3100000000000005</v>
      </c>
      <c r="E332" s="678">
        <v>0</v>
      </c>
      <c r="F332" s="678">
        <v>0</v>
      </c>
      <c r="G332" s="738">
        <f t="shared" ref="G332:G404" si="0">D332*E332+F332</f>
        <v>0</v>
      </c>
      <c r="H332" s="673"/>
      <c r="I332" s="2"/>
      <c r="J332" s="2"/>
      <c r="K332" s="2"/>
      <c r="L332" s="673"/>
      <c r="M332" s="673"/>
      <c r="N332" s="2"/>
      <c r="O332" s="673"/>
      <c r="P332" s="673"/>
      <c r="Q332" s="673"/>
      <c r="R332" s="673"/>
      <c r="S332" s="673"/>
    </row>
    <row r="333" spans="1:19" s="672" customFormat="1" ht="12.75" customHeight="1">
      <c r="A333" s="156" t="s">
        <v>253</v>
      </c>
      <c r="B333" s="668" t="s">
        <v>254</v>
      </c>
      <c r="C333" s="671" t="s">
        <v>84</v>
      </c>
      <c r="D333" s="674">
        <v>98.39</v>
      </c>
      <c r="E333" s="753">
        <v>0</v>
      </c>
      <c r="F333" s="678">
        <v>0</v>
      </c>
      <c r="G333" s="738">
        <f t="shared" si="0"/>
        <v>0</v>
      </c>
      <c r="H333" s="751"/>
      <c r="I333" s="2"/>
      <c r="J333" s="2"/>
      <c r="K333" s="2"/>
      <c r="L333" s="673"/>
      <c r="M333" s="673"/>
      <c r="N333" s="2"/>
      <c r="O333" s="751"/>
      <c r="P333" s="751"/>
      <c r="Q333" s="751"/>
      <c r="R333" s="751"/>
      <c r="S333" s="751"/>
    </row>
    <row r="334" spans="1:19" s="3" customFormat="1" ht="13.5">
      <c r="A334" s="156" t="s">
        <v>255</v>
      </c>
      <c r="B334" s="670" t="s">
        <v>256</v>
      </c>
      <c r="C334" s="169" t="s">
        <v>84</v>
      </c>
      <c r="D334" s="752">
        <v>98.39</v>
      </c>
      <c r="E334" s="678">
        <v>0</v>
      </c>
      <c r="F334" s="678">
        <v>0</v>
      </c>
      <c r="G334" s="738">
        <f t="shared" si="0"/>
        <v>0</v>
      </c>
      <c r="H334" s="673"/>
      <c r="I334" s="2"/>
      <c r="J334" s="2"/>
      <c r="K334" s="2"/>
      <c r="L334" s="673"/>
      <c r="M334" s="673"/>
      <c r="N334" s="2"/>
      <c r="O334" s="673"/>
      <c r="P334" s="673"/>
      <c r="Q334" s="673"/>
      <c r="R334" s="673"/>
      <c r="S334" s="673"/>
    </row>
    <row r="335" spans="1:19" s="3" customFormat="1" ht="13.5">
      <c r="A335" s="156" t="s">
        <v>257</v>
      </c>
      <c r="B335" s="670" t="s">
        <v>258</v>
      </c>
      <c r="C335" s="154" t="s">
        <v>84</v>
      </c>
      <c r="D335" s="743">
        <v>153.01650000000001</v>
      </c>
      <c r="E335" s="678">
        <v>0</v>
      </c>
      <c r="F335" s="678">
        <v>0</v>
      </c>
      <c r="G335" s="738">
        <f t="shared" si="0"/>
        <v>0</v>
      </c>
      <c r="H335" s="673"/>
      <c r="I335" s="2"/>
      <c r="J335" s="2"/>
      <c r="K335" s="2"/>
      <c r="L335" s="2"/>
      <c r="M335" s="673"/>
      <c r="N335" s="9"/>
      <c r="O335" s="673"/>
      <c r="P335" s="673"/>
      <c r="Q335" s="673"/>
      <c r="R335" s="673"/>
      <c r="S335" s="673"/>
    </row>
    <row r="336" spans="1:19" s="3" customFormat="1" ht="13.5">
      <c r="A336" s="156" t="s">
        <v>259</v>
      </c>
      <c r="B336" s="670" t="s">
        <v>260</v>
      </c>
      <c r="C336" s="154" t="s">
        <v>84</v>
      </c>
      <c r="D336" s="743">
        <v>153.01650000000001</v>
      </c>
      <c r="E336" s="678">
        <v>0</v>
      </c>
      <c r="F336" s="678">
        <v>0</v>
      </c>
      <c r="G336" s="738">
        <f t="shared" si="0"/>
        <v>0</v>
      </c>
      <c r="H336" s="673"/>
      <c r="I336" s="2"/>
      <c r="J336" s="2"/>
      <c r="K336" s="2"/>
      <c r="L336" s="2"/>
      <c r="M336"/>
      <c r="N336" s="9"/>
      <c r="O336" s="673"/>
      <c r="P336" s="673"/>
      <c r="Q336" s="673"/>
      <c r="R336" s="673"/>
      <c r="S336" s="673"/>
    </row>
    <row r="337" spans="1:19" s="3" customFormat="1">
      <c r="A337" s="156"/>
      <c r="B337" s="670"/>
      <c r="C337" s="154"/>
      <c r="D337" s="743"/>
      <c r="E337" s="678"/>
      <c r="F337" s="849"/>
      <c r="G337" s="738"/>
      <c r="H337" s="673"/>
      <c r="I337" s="2"/>
      <c r="J337" s="2"/>
      <c r="K337" s="2"/>
      <c r="L337" s="2"/>
      <c r="M337"/>
      <c r="N337" s="9"/>
      <c r="O337" s="673"/>
      <c r="P337" s="673"/>
      <c r="Q337" s="673"/>
      <c r="R337" s="673"/>
      <c r="S337" s="673"/>
    </row>
    <row r="338" spans="1:19" s="3" customFormat="1">
      <c r="A338" s="150">
        <v>2.2999999999999998</v>
      </c>
      <c r="B338" s="155" t="s">
        <v>261</v>
      </c>
      <c r="C338" s="154"/>
      <c r="D338" s="743"/>
      <c r="E338" s="678"/>
      <c r="F338" s="849"/>
      <c r="G338" s="738"/>
      <c r="H338" s="673"/>
      <c r="I338" s="2"/>
      <c r="J338" s="2"/>
      <c r="K338" s="2"/>
      <c r="L338" s="2"/>
      <c r="M338"/>
      <c r="N338" s="9"/>
      <c r="O338" s="673"/>
      <c r="P338" s="673"/>
      <c r="Q338" s="673"/>
      <c r="R338" s="673"/>
      <c r="S338" s="673"/>
    </row>
    <row r="339" spans="1:19" s="3" customFormat="1">
      <c r="A339" s="150"/>
      <c r="B339" s="703"/>
      <c r="C339" s="154"/>
      <c r="D339" s="743"/>
      <c r="E339" s="678"/>
      <c r="F339" s="849"/>
      <c r="G339" s="738"/>
      <c r="H339" s="673"/>
      <c r="I339" s="2"/>
      <c r="J339" s="2"/>
      <c r="K339" s="2"/>
      <c r="L339" s="2"/>
      <c r="M339"/>
      <c r="N339" s="9"/>
      <c r="O339" s="673"/>
      <c r="P339" s="673"/>
      <c r="Q339" s="673"/>
      <c r="R339" s="673"/>
      <c r="S339" s="673"/>
    </row>
    <row r="340" spans="1:19" s="2" customFormat="1">
      <c r="A340" s="182" t="s">
        <v>262</v>
      </c>
      <c r="B340" s="704" t="s">
        <v>263</v>
      </c>
      <c r="C340" s="178" t="s">
        <v>264</v>
      </c>
      <c r="D340" s="178">
        <v>3</v>
      </c>
      <c r="E340" s="179">
        <v>0</v>
      </c>
      <c r="F340" s="678">
        <v>0</v>
      </c>
      <c r="G340" s="738">
        <f t="shared" si="0"/>
        <v>0</v>
      </c>
      <c r="L340"/>
      <c r="M340" s="9"/>
    </row>
    <row r="341" spans="1:19" s="2" customFormat="1">
      <c r="A341" s="182" t="s">
        <v>265</v>
      </c>
      <c r="B341" s="673" t="s">
        <v>266</v>
      </c>
      <c r="C341" s="178" t="s">
        <v>264</v>
      </c>
      <c r="D341" s="178">
        <v>1</v>
      </c>
      <c r="E341" s="179">
        <v>0</v>
      </c>
      <c r="F341" s="678">
        <v>0</v>
      </c>
      <c r="G341" s="738">
        <f t="shared" si="0"/>
        <v>0</v>
      </c>
      <c r="L341"/>
      <c r="M341" s="9"/>
    </row>
    <row r="342" spans="1:19" s="2" customFormat="1">
      <c r="A342" s="182" t="s">
        <v>267</v>
      </c>
      <c r="B342" s="715" t="s">
        <v>268</v>
      </c>
      <c r="C342" s="185" t="s">
        <v>269</v>
      </c>
      <c r="D342" s="185">
        <v>14</v>
      </c>
      <c r="E342" s="179">
        <v>0</v>
      </c>
      <c r="F342" s="678">
        <v>0</v>
      </c>
      <c r="G342" s="738">
        <f t="shared" si="0"/>
        <v>0</v>
      </c>
      <c r="L342"/>
      <c r="M342" s="9"/>
    </row>
    <row r="343" spans="1:19" s="3" customFormat="1">
      <c r="A343" s="182"/>
      <c r="B343" s="670"/>
      <c r="C343" s="154"/>
      <c r="D343" s="743"/>
      <c r="E343" s="678"/>
      <c r="F343" s="849"/>
      <c r="G343" s="738"/>
      <c r="H343" s="673"/>
      <c r="I343" s="2"/>
      <c r="J343" s="2"/>
      <c r="K343" s="2"/>
      <c r="L343" s="2"/>
      <c r="M343"/>
      <c r="N343" s="9"/>
      <c r="O343" s="673"/>
      <c r="P343" s="673"/>
      <c r="Q343" s="673"/>
      <c r="R343" s="673"/>
      <c r="S343" s="673"/>
    </row>
    <row r="344" spans="1:19" s="3" customFormat="1">
      <c r="A344" s="150">
        <v>2.4</v>
      </c>
      <c r="B344" s="703" t="s">
        <v>270</v>
      </c>
      <c r="C344" s="680"/>
      <c r="D344" s="743"/>
      <c r="E344" s="678"/>
      <c r="F344" s="849"/>
      <c r="G344" s="738"/>
      <c r="H344" s="673"/>
      <c r="I344" s="2"/>
      <c r="J344" s="2"/>
      <c r="K344" s="2"/>
      <c r="L344" s="673"/>
      <c r="M344" s="673"/>
      <c r="N344" s="2"/>
      <c r="O344" s="673"/>
      <c r="P344" s="673"/>
      <c r="Q344" s="673"/>
      <c r="R344" s="673"/>
      <c r="S344" s="673"/>
    </row>
    <row r="345" spans="1:19" s="3" customFormat="1">
      <c r="A345" s="150"/>
      <c r="B345" s="673"/>
      <c r="C345" s="680"/>
      <c r="D345" s="743"/>
      <c r="E345" s="678"/>
      <c r="F345" s="849"/>
      <c r="G345" s="738"/>
      <c r="H345" s="673"/>
      <c r="I345" s="2"/>
      <c r="J345" s="2"/>
      <c r="K345" s="2"/>
      <c r="L345" s="673"/>
      <c r="M345" s="673"/>
      <c r="N345" s="2"/>
      <c r="O345" s="673"/>
      <c r="P345" s="673"/>
      <c r="Q345" s="673"/>
      <c r="R345" s="673"/>
      <c r="S345" s="673"/>
    </row>
    <row r="346" spans="1:19" s="3" customFormat="1" ht="13.5">
      <c r="A346" s="156" t="s">
        <v>271</v>
      </c>
      <c r="B346" s="705" t="s">
        <v>272</v>
      </c>
      <c r="C346" s="169" t="s">
        <v>84</v>
      </c>
      <c r="D346" s="752">
        <v>20.46</v>
      </c>
      <c r="E346" s="678">
        <v>0</v>
      </c>
      <c r="F346" s="678">
        <v>0</v>
      </c>
      <c r="G346" s="738">
        <f t="shared" si="0"/>
        <v>0</v>
      </c>
      <c r="H346" s="673"/>
      <c r="I346" s="2"/>
      <c r="J346" s="2"/>
      <c r="K346" s="2"/>
      <c r="L346" s="673"/>
      <c r="M346" s="673"/>
      <c r="N346" s="2"/>
      <c r="O346" s="673"/>
      <c r="P346" s="673"/>
      <c r="Q346" s="673"/>
      <c r="R346" s="673"/>
      <c r="S346" s="673"/>
    </row>
    <row r="347" spans="1:19" s="3" customFormat="1">
      <c r="A347" s="156"/>
      <c r="B347" s="670"/>
      <c r="C347" s="154"/>
      <c r="D347" s="743"/>
      <c r="E347" s="754"/>
      <c r="F347" s="849"/>
      <c r="G347" s="738"/>
      <c r="H347" s="673"/>
      <c r="I347" s="2"/>
      <c r="J347" s="2"/>
      <c r="K347" s="2"/>
      <c r="L347" s="2"/>
      <c r="M347"/>
      <c r="N347" s="9"/>
      <c r="O347" s="673"/>
      <c r="P347" s="673"/>
      <c r="Q347" s="673"/>
      <c r="R347" s="673"/>
      <c r="S347" s="673"/>
    </row>
    <row r="348" spans="1:19" s="3" customFormat="1">
      <c r="A348" s="150">
        <v>2.5</v>
      </c>
      <c r="B348" s="155" t="s">
        <v>273</v>
      </c>
      <c r="C348" s="680"/>
      <c r="D348" s="743"/>
      <c r="E348" s="678"/>
      <c r="F348" s="849"/>
      <c r="G348" s="738"/>
      <c r="H348" s="673"/>
      <c r="I348" s="2"/>
      <c r="J348" s="2"/>
      <c r="K348" s="2"/>
      <c r="L348" s="673"/>
      <c r="M348" s="673"/>
      <c r="N348" s="2"/>
      <c r="O348" s="673"/>
      <c r="P348" s="673"/>
      <c r="Q348" s="673"/>
      <c r="R348" s="673"/>
      <c r="S348" s="673"/>
    </row>
    <row r="349" spans="1:19" s="3" customFormat="1">
      <c r="A349" s="150"/>
      <c r="B349" s="673"/>
      <c r="C349" s="680"/>
      <c r="D349" s="743"/>
      <c r="E349" s="678"/>
      <c r="F349" s="849"/>
      <c r="G349" s="738"/>
      <c r="H349" s="673"/>
      <c r="I349" s="2"/>
      <c r="J349" s="2"/>
      <c r="K349" s="2"/>
      <c r="L349" s="673"/>
      <c r="M349" s="673"/>
      <c r="N349" s="2"/>
      <c r="O349" s="673"/>
      <c r="P349" s="673"/>
      <c r="Q349" s="673"/>
      <c r="R349" s="673"/>
      <c r="S349" s="673"/>
    </row>
    <row r="350" spans="1:19" s="3" customFormat="1" ht="13.5">
      <c r="A350" s="156" t="s">
        <v>274</v>
      </c>
      <c r="B350" s="675" t="s">
        <v>275</v>
      </c>
      <c r="C350" s="169"/>
      <c r="D350" s="752"/>
      <c r="E350" s="678"/>
      <c r="F350" s="849"/>
      <c r="G350" s="738"/>
      <c r="H350" s="673"/>
      <c r="I350" s="2"/>
      <c r="J350" s="2"/>
      <c r="K350" s="2"/>
      <c r="L350" s="673"/>
      <c r="M350" s="673"/>
      <c r="N350" s="2"/>
      <c r="O350" s="673"/>
      <c r="P350" s="673"/>
      <c r="Q350" s="673"/>
      <c r="R350" s="673"/>
      <c r="S350" s="673"/>
    </row>
    <row r="351" spans="1:19" s="3" customFormat="1" ht="27.75">
      <c r="A351" s="156" t="s">
        <v>90</v>
      </c>
      <c r="B351" s="670" t="s">
        <v>276</v>
      </c>
      <c r="C351" s="169" t="s">
        <v>277</v>
      </c>
      <c r="D351" s="752">
        <v>1</v>
      </c>
      <c r="E351" s="678">
        <v>0</v>
      </c>
      <c r="F351" s="678">
        <v>0</v>
      </c>
      <c r="G351" s="738">
        <f t="shared" si="0"/>
        <v>0</v>
      </c>
      <c r="H351" s="673"/>
      <c r="I351" s="2"/>
      <c r="J351" s="2"/>
      <c r="K351" s="2"/>
      <c r="L351" s="673"/>
      <c r="M351" s="673"/>
      <c r="N351" s="2"/>
      <c r="O351" s="673"/>
      <c r="P351" s="673"/>
      <c r="Q351" s="673"/>
      <c r="R351" s="673"/>
      <c r="S351" s="673"/>
    </row>
    <row r="352" spans="1:19" s="3" customFormat="1" ht="27.75">
      <c r="A352" s="156" t="s">
        <v>95</v>
      </c>
      <c r="B352" s="676" t="s">
        <v>278</v>
      </c>
      <c r="C352" s="169" t="s">
        <v>277</v>
      </c>
      <c r="D352" s="752">
        <v>1</v>
      </c>
      <c r="E352" s="678">
        <v>0</v>
      </c>
      <c r="F352" s="678">
        <v>0</v>
      </c>
      <c r="G352" s="738">
        <f t="shared" si="0"/>
        <v>0</v>
      </c>
      <c r="H352" s="673"/>
      <c r="I352" s="2"/>
      <c r="J352" s="2"/>
      <c r="K352" s="2"/>
      <c r="L352" s="673"/>
      <c r="M352" s="673"/>
      <c r="N352" s="2"/>
      <c r="O352" s="673"/>
      <c r="P352" s="673"/>
      <c r="Q352" s="673"/>
      <c r="R352" s="673"/>
      <c r="S352" s="673"/>
    </row>
    <row r="353" spans="1:19" s="3" customFormat="1" ht="27.75">
      <c r="A353" s="156" t="s">
        <v>97</v>
      </c>
      <c r="B353" s="677" t="s">
        <v>279</v>
      </c>
      <c r="C353" s="169" t="s">
        <v>277</v>
      </c>
      <c r="D353" s="752">
        <v>1</v>
      </c>
      <c r="E353" s="678">
        <v>0</v>
      </c>
      <c r="F353" s="678">
        <v>0</v>
      </c>
      <c r="G353" s="738">
        <f t="shared" si="0"/>
        <v>0</v>
      </c>
      <c r="H353" s="673"/>
      <c r="I353" s="2"/>
      <c r="J353" s="2"/>
      <c r="K353" s="2"/>
      <c r="L353" s="673"/>
      <c r="M353" s="673"/>
      <c r="N353" s="2"/>
      <c r="O353" s="673"/>
      <c r="P353" s="673"/>
      <c r="Q353" s="673"/>
      <c r="R353" s="673"/>
      <c r="S353" s="673"/>
    </row>
    <row r="354" spans="1:19" s="3" customFormat="1" ht="13.5">
      <c r="A354" s="156" t="s">
        <v>280</v>
      </c>
      <c r="B354" s="677" t="s">
        <v>281</v>
      </c>
      <c r="C354" s="169" t="s">
        <v>277</v>
      </c>
      <c r="D354" s="752">
        <v>1</v>
      </c>
      <c r="E354" s="678">
        <v>0</v>
      </c>
      <c r="F354" s="678">
        <v>0</v>
      </c>
      <c r="G354" s="738">
        <f t="shared" si="0"/>
        <v>0</v>
      </c>
      <c r="H354" s="673"/>
      <c r="I354" s="2"/>
      <c r="J354" s="2"/>
      <c r="K354" s="2"/>
      <c r="L354" s="673"/>
      <c r="M354" s="673"/>
      <c r="N354" s="2"/>
      <c r="O354" s="673"/>
      <c r="P354" s="673"/>
      <c r="Q354" s="673"/>
      <c r="R354" s="673"/>
      <c r="S354" s="673"/>
    </row>
    <row r="355" spans="1:19" s="3" customFormat="1">
      <c r="A355" s="156"/>
      <c r="B355" s="670"/>
      <c r="C355" s="169"/>
      <c r="D355" s="752"/>
      <c r="E355" s="678"/>
      <c r="F355" s="849"/>
      <c r="G355" s="738"/>
      <c r="H355" s="673"/>
      <c r="I355" s="2"/>
      <c r="J355" s="2"/>
      <c r="K355" s="2"/>
      <c r="L355" s="673"/>
      <c r="M355" s="673"/>
      <c r="N355" s="2"/>
      <c r="O355" s="673"/>
      <c r="P355" s="673"/>
      <c r="Q355" s="673"/>
      <c r="R355" s="673"/>
      <c r="S355" s="673"/>
    </row>
    <row r="356" spans="1:19" s="3" customFormat="1" ht="13.5">
      <c r="A356" s="156" t="s">
        <v>282</v>
      </c>
      <c r="B356" s="675" t="s">
        <v>283</v>
      </c>
      <c r="C356" s="169"/>
      <c r="D356" s="752"/>
      <c r="E356" s="678"/>
      <c r="F356" s="849"/>
      <c r="G356" s="738"/>
      <c r="H356" s="673"/>
      <c r="I356" s="2"/>
      <c r="J356" s="2"/>
      <c r="K356" s="2"/>
      <c r="L356" s="673"/>
      <c r="M356" s="673"/>
      <c r="N356" s="2"/>
      <c r="O356" s="673"/>
      <c r="P356" s="673"/>
      <c r="Q356" s="673"/>
      <c r="R356" s="673"/>
      <c r="S356" s="673"/>
    </row>
    <row r="357" spans="1:19" s="3" customFormat="1" ht="13.5">
      <c r="A357" s="156" t="s">
        <v>90</v>
      </c>
      <c r="B357" s="670" t="s">
        <v>284</v>
      </c>
      <c r="C357" s="679" t="s">
        <v>285</v>
      </c>
      <c r="D357" s="752">
        <v>2</v>
      </c>
      <c r="E357" s="678">
        <v>0</v>
      </c>
      <c r="F357" s="678">
        <v>0</v>
      </c>
      <c r="G357" s="738">
        <f>D357*E357+F357</f>
        <v>0</v>
      </c>
      <c r="H357" s="673"/>
      <c r="I357" s="2"/>
      <c r="J357" s="2"/>
      <c r="K357" s="2"/>
      <c r="L357" s="673"/>
      <c r="M357" s="673"/>
      <c r="N357" s="2"/>
      <c r="O357" s="673"/>
      <c r="P357" s="673"/>
      <c r="Q357" s="673"/>
      <c r="R357" s="673"/>
      <c r="S357" s="673"/>
    </row>
    <row r="358" spans="1:19" s="3" customFormat="1" ht="13.5">
      <c r="A358" s="156" t="s">
        <v>95</v>
      </c>
      <c r="B358" s="670" t="s">
        <v>286</v>
      </c>
      <c r="C358" s="679" t="s">
        <v>285</v>
      </c>
      <c r="D358" s="752">
        <v>15</v>
      </c>
      <c r="E358" s="678">
        <v>0</v>
      </c>
      <c r="F358" s="678">
        <v>0</v>
      </c>
      <c r="G358" s="738">
        <f>D358*E358+F358</f>
        <v>0</v>
      </c>
      <c r="H358" s="673"/>
      <c r="I358" s="2"/>
      <c r="J358" s="2"/>
      <c r="K358" s="2"/>
      <c r="L358" s="673"/>
      <c r="M358" s="673"/>
      <c r="N358" s="2"/>
      <c r="O358" s="673"/>
      <c r="P358" s="673"/>
      <c r="Q358" s="673"/>
      <c r="R358" s="673"/>
      <c r="S358" s="673"/>
    </row>
    <row r="359" spans="1:19" s="3" customFormat="1" ht="13.5">
      <c r="A359" s="156" t="s">
        <v>97</v>
      </c>
      <c r="B359" s="670" t="s">
        <v>287</v>
      </c>
      <c r="C359" s="679" t="s">
        <v>285</v>
      </c>
      <c r="D359" s="752">
        <v>4</v>
      </c>
      <c r="E359" s="678">
        <v>0</v>
      </c>
      <c r="F359" s="678">
        <v>0</v>
      </c>
      <c r="G359" s="738">
        <f>D359*E359+F359</f>
        <v>0</v>
      </c>
      <c r="H359" s="673"/>
      <c r="I359" s="2"/>
      <c r="J359" s="2"/>
      <c r="K359" s="2"/>
      <c r="L359" s="673"/>
      <c r="M359" s="673"/>
      <c r="N359" s="2"/>
      <c r="O359" s="673"/>
      <c r="P359" s="673"/>
      <c r="Q359" s="673"/>
      <c r="R359" s="673"/>
      <c r="S359" s="673"/>
    </row>
    <row r="360" spans="1:19" s="3" customFormat="1">
      <c r="A360" s="156"/>
      <c r="B360" s="670"/>
      <c r="C360" s="169"/>
      <c r="D360" s="752"/>
      <c r="E360" s="678"/>
      <c r="F360" s="849"/>
      <c r="G360" s="738"/>
      <c r="H360" s="673"/>
      <c r="I360" s="2"/>
      <c r="J360" s="2"/>
      <c r="K360" s="2"/>
      <c r="L360" s="673"/>
      <c r="M360" s="673"/>
      <c r="N360" s="2"/>
      <c r="O360" s="673"/>
      <c r="P360" s="673"/>
      <c r="Q360" s="673"/>
      <c r="R360" s="673"/>
      <c r="S360" s="673"/>
    </row>
    <row r="361" spans="1:19" s="3" customFormat="1" ht="13.5">
      <c r="A361" s="156" t="s">
        <v>288</v>
      </c>
      <c r="B361" s="675" t="s">
        <v>289</v>
      </c>
      <c r="C361" s="169"/>
      <c r="D361" s="752"/>
      <c r="E361" s="678"/>
      <c r="F361" s="849"/>
      <c r="G361" s="738"/>
      <c r="H361" s="673"/>
      <c r="I361" s="2"/>
      <c r="J361" s="2"/>
      <c r="K361" s="2"/>
      <c r="L361" s="673"/>
      <c r="M361" s="673"/>
      <c r="N361" s="2"/>
      <c r="O361" s="673"/>
      <c r="P361" s="673"/>
      <c r="Q361" s="673"/>
      <c r="R361" s="673"/>
      <c r="S361" s="673"/>
    </row>
    <row r="362" spans="1:19" s="3" customFormat="1" ht="13.5">
      <c r="A362" s="156" t="s">
        <v>90</v>
      </c>
      <c r="B362" s="670" t="s">
        <v>290</v>
      </c>
      <c r="C362" s="679" t="s">
        <v>291</v>
      </c>
      <c r="D362" s="752">
        <v>22</v>
      </c>
      <c r="E362" s="678">
        <v>0</v>
      </c>
      <c r="F362" s="678">
        <v>0</v>
      </c>
      <c r="G362" s="738">
        <f t="shared" si="0"/>
        <v>0</v>
      </c>
      <c r="H362" s="673"/>
      <c r="I362" s="2"/>
      <c r="J362" s="2"/>
      <c r="K362" s="2"/>
      <c r="L362" s="673"/>
      <c r="M362" s="673"/>
      <c r="N362" s="2"/>
      <c r="O362" s="673"/>
      <c r="P362" s="673"/>
      <c r="Q362" s="673"/>
      <c r="R362" s="673"/>
      <c r="S362" s="673"/>
    </row>
    <row r="363" spans="1:19" s="3" customFormat="1" ht="13.5">
      <c r="A363" s="156" t="s">
        <v>95</v>
      </c>
      <c r="B363" s="670" t="s">
        <v>292</v>
      </c>
      <c r="C363" s="679" t="s">
        <v>291</v>
      </c>
      <c r="D363" s="752">
        <v>2</v>
      </c>
      <c r="E363" s="678">
        <v>0</v>
      </c>
      <c r="F363" s="678">
        <v>0</v>
      </c>
      <c r="G363" s="738">
        <f t="shared" si="0"/>
        <v>0</v>
      </c>
      <c r="H363" s="673"/>
      <c r="I363" s="2"/>
      <c r="J363" s="2"/>
      <c r="K363" s="2"/>
      <c r="L363" s="673"/>
      <c r="M363" s="673"/>
      <c r="N363" s="2"/>
      <c r="O363" s="673"/>
      <c r="P363" s="673"/>
      <c r="Q363" s="673"/>
      <c r="R363" s="673"/>
      <c r="S363" s="673"/>
    </row>
    <row r="364" spans="1:19" s="3" customFormat="1">
      <c r="A364" s="156"/>
      <c r="B364" s="670"/>
      <c r="C364" s="679"/>
      <c r="D364" s="752"/>
      <c r="E364" s="678"/>
      <c r="F364" s="849"/>
      <c r="G364" s="738"/>
      <c r="H364" s="673"/>
      <c r="I364" s="2"/>
      <c r="J364" s="2"/>
      <c r="K364" s="2"/>
      <c r="L364" s="673"/>
      <c r="M364" s="673"/>
      <c r="N364" s="2"/>
      <c r="O364" s="673"/>
      <c r="P364" s="673"/>
      <c r="Q364" s="673"/>
      <c r="R364" s="673"/>
      <c r="S364" s="673"/>
    </row>
    <row r="365" spans="1:19" s="3" customFormat="1">
      <c r="A365" s="156"/>
      <c r="B365" s="670"/>
      <c r="C365" s="679"/>
      <c r="D365" s="752"/>
      <c r="E365" s="678"/>
      <c r="F365" s="849"/>
      <c r="G365" s="738"/>
      <c r="H365" s="673"/>
      <c r="I365" s="2"/>
      <c r="J365" s="2"/>
      <c r="K365" s="2"/>
      <c r="L365" s="673"/>
      <c r="M365" s="673"/>
      <c r="N365" s="2"/>
      <c r="O365" s="673"/>
      <c r="P365" s="673"/>
      <c r="Q365" s="673"/>
      <c r="R365" s="673"/>
      <c r="S365" s="673"/>
    </row>
    <row r="366" spans="1:19" s="3" customFormat="1" ht="13.5">
      <c r="A366" s="156" t="s">
        <v>293</v>
      </c>
      <c r="B366" s="675" t="s">
        <v>294</v>
      </c>
      <c r="C366" s="169"/>
      <c r="D366" s="752"/>
      <c r="E366" s="678"/>
      <c r="F366" s="849"/>
      <c r="G366" s="738"/>
      <c r="H366" s="673"/>
      <c r="I366" s="2"/>
      <c r="J366" s="2"/>
      <c r="K366" s="2"/>
      <c r="L366" s="673"/>
      <c r="M366" s="673"/>
      <c r="N366" s="2"/>
      <c r="O366" s="673"/>
      <c r="P366" s="673"/>
      <c r="Q366" s="673"/>
      <c r="R366" s="673"/>
      <c r="S366" s="673"/>
    </row>
    <row r="367" spans="1:19" s="3" customFormat="1">
      <c r="A367" s="156"/>
      <c r="B367" s="675"/>
      <c r="C367" s="169"/>
      <c r="D367" s="752"/>
      <c r="E367" s="678"/>
      <c r="F367" s="849"/>
      <c r="G367" s="738"/>
      <c r="H367" s="673"/>
      <c r="I367" s="2"/>
      <c r="J367" s="2"/>
      <c r="K367" s="2"/>
      <c r="L367" s="673"/>
      <c r="M367" s="673"/>
      <c r="N367" s="2"/>
      <c r="O367" s="673"/>
      <c r="P367" s="673"/>
      <c r="Q367" s="673"/>
      <c r="R367" s="673"/>
      <c r="S367" s="673"/>
    </row>
    <row r="368" spans="1:19" s="3" customFormat="1" ht="13.5">
      <c r="A368" s="156" t="s">
        <v>295</v>
      </c>
      <c r="B368" s="675" t="s">
        <v>296</v>
      </c>
      <c r="C368" s="169"/>
      <c r="D368" s="752"/>
      <c r="E368" s="678"/>
      <c r="F368" s="849"/>
      <c r="G368" s="738"/>
      <c r="H368" s="673"/>
      <c r="I368" s="2"/>
      <c r="J368" s="2"/>
      <c r="K368" s="2"/>
      <c r="L368" s="673"/>
      <c r="M368" s="673"/>
      <c r="N368" s="2"/>
      <c r="O368" s="673"/>
      <c r="P368" s="673"/>
      <c r="Q368" s="673"/>
      <c r="R368" s="673"/>
      <c r="S368" s="673"/>
    </row>
    <row r="369" spans="1:19" s="3" customFormat="1" ht="13.5">
      <c r="A369" s="156" t="s">
        <v>90</v>
      </c>
      <c r="B369" s="670" t="s">
        <v>297</v>
      </c>
      <c r="C369" s="679" t="s">
        <v>291</v>
      </c>
      <c r="D369" s="752">
        <v>1</v>
      </c>
      <c r="E369" s="678">
        <v>0</v>
      </c>
      <c r="F369" s="678">
        <v>0</v>
      </c>
      <c r="G369" s="738">
        <f t="shared" si="0"/>
        <v>0</v>
      </c>
      <c r="H369" s="673"/>
      <c r="I369" s="2"/>
      <c r="J369" s="2"/>
      <c r="K369" s="2"/>
      <c r="L369" s="673"/>
      <c r="M369" s="673"/>
      <c r="N369" s="2"/>
      <c r="O369" s="673"/>
      <c r="P369" s="673"/>
      <c r="Q369" s="673"/>
      <c r="R369" s="673"/>
      <c r="S369" s="673"/>
    </row>
    <row r="370" spans="1:19" s="3" customFormat="1" ht="13.5">
      <c r="A370" s="156" t="s">
        <v>95</v>
      </c>
      <c r="B370" s="670" t="s">
        <v>298</v>
      </c>
      <c r="C370" s="679" t="s">
        <v>291</v>
      </c>
      <c r="D370" s="752">
        <v>2</v>
      </c>
      <c r="E370" s="678">
        <v>0</v>
      </c>
      <c r="F370" s="678">
        <v>0</v>
      </c>
      <c r="G370" s="738">
        <f t="shared" si="0"/>
        <v>0</v>
      </c>
      <c r="H370" s="673"/>
      <c r="I370" s="2"/>
      <c r="J370" s="2"/>
      <c r="K370" s="2"/>
      <c r="L370" s="673"/>
      <c r="M370" s="673"/>
      <c r="N370" s="2"/>
      <c r="O370" s="673"/>
      <c r="P370" s="673"/>
      <c r="Q370" s="673"/>
      <c r="R370" s="673"/>
      <c r="S370" s="673"/>
    </row>
    <row r="371" spans="1:19" s="3" customFormat="1" ht="13.5">
      <c r="A371" s="156" t="s">
        <v>97</v>
      </c>
      <c r="B371" s="670" t="s">
        <v>299</v>
      </c>
      <c r="C371" s="679" t="s">
        <v>291</v>
      </c>
      <c r="D371" s="752">
        <v>2</v>
      </c>
      <c r="E371" s="678">
        <v>0</v>
      </c>
      <c r="F371" s="678">
        <v>0</v>
      </c>
      <c r="G371" s="738">
        <f t="shared" si="0"/>
        <v>0</v>
      </c>
      <c r="H371" s="673"/>
      <c r="I371" s="2"/>
      <c r="J371" s="2"/>
      <c r="K371" s="2"/>
      <c r="L371" s="673"/>
      <c r="M371" s="673"/>
      <c r="N371" s="2"/>
      <c r="O371" s="673"/>
      <c r="P371" s="673"/>
      <c r="Q371" s="673"/>
      <c r="R371" s="673"/>
      <c r="S371" s="673"/>
    </row>
    <row r="372" spans="1:19" s="3" customFormat="1" ht="13.5">
      <c r="A372" s="156" t="s">
        <v>280</v>
      </c>
      <c r="B372" s="670" t="s">
        <v>300</v>
      </c>
      <c r="C372" s="679" t="s">
        <v>291</v>
      </c>
      <c r="D372" s="752">
        <v>1</v>
      </c>
      <c r="E372" s="678">
        <v>0</v>
      </c>
      <c r="F372" s="678">
        <v>0</v>
      </c>
      <c r="G372" s="738">
        <f t="shared" si="0"/>
        <v>0</v>
      </c>
      <c r="H372" s="673"/>
      <c r="I372" s="2"/>
      <c r="J372" s="2"/>
      <c r="K372" s="2"/>
      <c r="L372" s="673"/>
      <c r="M372" s="673"/>
      <c r="N372" s="2"/>
      <c r="O372" s="673"/>
      <c r="P372" s="673"/>
      <c r="Q372" s="673"/>
      <c r="R372" s="673"/>
      <c r="S372" s="673"/>
    </row>
    <row r="373" spans="1:19" s="3" customFormat="1">
      <c r="A373" s="156"/>
      <c r="B373" s="670"/>
      <c r="C373" s="679"/>
      <c r="D373" s="752"/>
      <c r="E373" s="678"/>
      <c r="F373" s="849"/>
      <c r="G373" s="738"/>
      <c r="H373" s="673"/>
      <c r="I373" s="2"/>
      <c r="J373" s="2"/>
      <c r="K373" s="2"/>
      <c r="L373" s="673"/>
      <c r="M373" s="673"/>
      <c r="N373" s="2"/>
      <c r="O373" s="673"/>
      <c r="P373" s="673"/>
      <c r="Q373" s="673"/>
      <c r="R373" s="673"/>
      <c r="S373" s="673"/>
    </row>
    <row r="374" spans="1:19" s="3" customFormat="1" ht="13.5">
      <c r="A374" s="156" t="s">
        <v>301</v>
      </c>
      <c r="B374" s="675" t="s">
        <v>302</v>
      </c>
      <c r="C374" s="169"/>
      <c r="D374" s="752"/>
      <c r="E374" s="678"/>
      <c r="F374" s="849"/>
      <c r="G374" s="738"/>
      <c r="H374" s="673"/>
      <c r="I374" s="2"/>
      <c r="J374" s="2"/>
      <c r="K374" s="2"/>
      <c r="L374" s="673"/>
      <c r="M374" s="673"/>
      <c r="N374" s="2"/>
      <c r="O374" s="673"/>
      <c r="P374" s="673"/>
      <c r="Q374" s="673"/>
      <c r="R374" s="673"/>
      <c r="S374" s="673"/>
    </row>
    <row r="375" spans="1:19" s="3" customFormat="1" ht="13.5">
      <c r="A375" s="156" t="s">
        <v>90</v>
      </c>
      <c r="B375" s="670" t="s">
        <v>297</v>
      </c>
      <c r="C375" s="679" t="s">
        <v>291</v>
      </c>
      <c r="D375" s="752">
        <v>1</v>
      </c>
      <c r="E375" s="678">
        <v>0</v>
      </c>
      <c r="F375" s="678">
        <v>0</v>
      </c>
      <c r="G375" s="738">
        <f t="shared" si="0"/>
        <v>0</v>
      </c>
      <c r="H375" s="673"/>
      <c r="I375" s="2"/>
      <c r="J375" s="2"/>
      <c r="K375" s="2"/>
      <c r="L375" s="673"/>
      <c r="M375" s="673"/>
      <c r="N375" s="2"/>
      <c r="O375" s="673"/>
      <c r="P375" s="673"/>
      <c r="Q375" s="673"/>
      <c r="R375" s="673"/>
      <c r="S375" s="673"/>
    </row>
    <row r="376" spans="1:19" s="3" customFormat="1" ht="13.5">
      <c r="A376" s="156" t="s">
        <v>90</v>
      </c>
      <c r="B376" s="670" t="s">
        <v>298</v>
      </c>
      <c r="C376" s="679" t="s">
        <v>291</v>
      </c>
      <c r="D376" s="752">
        <v>2</v>
      </c>
      <c r="E376" s="678">
        <v>0</v>
      </c>
      <c r="F376" s="678">
        <v>0</v>
      </c>
      <c r="G376" s="738">
        <f t="shared" si="0"/>
        <v>0</v>
      </c>
      <c r="H376" s="673"/>
      <c r="I376" s="2"/>
      <c r="J376" s="2"/>
      <c r="K376" s="2"/>
      <c r="L376" s="673"/>
      <c r="M376" s="673"/>
      <c r="N376" s="2"/>
      <c r="O376" s="673"/>
      <c r="P376" s="673"/>
      <c r="Q376" s="673"/>
      <c r="R376" s="673"/>
      <c r="S376" s="673"/>
    </row>
    <row r="377" spans="1:19" s="3" customFormat="1" ht="13.5">
      <c r="A377" s="156" t="s">
        <v>95</v>
      </c>
      <c r="B377" s="670" t="s">
        <v>299</v>
      </c>
      <c r="C377" s="679" t="s">
        <v>291</v>
      </c>
      <c r="D377" s="752">
        <v>2</v>
      </c>
      <c r="E377" s="678">
        <v>0</v>
      </c>
      <c r="F377" s="678">
        <v>0</v>
      </c>
      <c r="G377" s="738">
        <f t="shared" si="0"/>
        <v>0</v>
      </c>
      <c r="H377" s="673"/>
      <c r="I377" s="2"/>
      <c r="J377" s="2"/>
      <c r="K377" s="2"/>
      <c r="L377" s="673"/>
      <c r="M377" s="673"/>
      <c r="N377" s="2"/>
      <c r="O377" s="673"/>
      <c r="P377" s="673"/>
      <c r="Q377" s="673"/>
      <c r="R377" s="673"/>
      <c r="S377" s="673"/>
    </row>
    <row r="378" spans="1:19" s="3" customFormat="1" ht="13.5">
      <c r="A378" s="156" t="s">
        <v>97</v>
      </c>
      <c r="B378" s="670" t="s">
        <v>300</v>
      </c>
      <c r="C378" s="679" t="s">
        <v>291</v>
      </c>
      <c r="D378" s="752">
        <v>1</v>
      </c>
      <c r="E378" s="678">
        <v>0</v>
      </c>
      <c r="F378" s="678">
        <v>0</v>
      </c>
      <c r="G378" s="738">
        <f t="shared" si="0"/>
        <v>0</v>
      </c>
      <c r="H378" s="673"/>
      <c r="I378" s="2"/>
      <c r="J378" s="2"/>
      <c r="K378" s="2"/>
      <c r="L378" s="673"/>
      <c r="M378" s="673"/>
      <c r="N378" s="2"/>
      <c r="O378" s="673"/>
      <c r="P378" s="673"/>
      <c r="Q378" s="673"/>
      <c r="R378" s="673"/>
      <c r="S378" s="673"/>
    </row>
    <row r="379" spans="1:19" s="3" customFormat="1">
      <c r="A379" s="156"/>
      <c r="B379" s="670"/>
      <c r="C379" s="679"/>
      <c r="D379" s="752"/>
      <c r="E379" s="678"/>
      <c r="F379" s="849"/>
      <c r="G379" s="738"/>
      <c r="H379" s="673"/>
      <c r="I379" s="2"/>
      <c r="J379" s="2"/>
      <c r="K379" s="2"/>
      <c r="L379" s="673"/>
      <c r="M379" s="673"/>
      <c r="N379" s="2"/>
      <c r="O379" s="673"/>
      <c r="P379" s="673"/>
      <c r="Q379" s="673"/>
      <c r="R379" s="673"/>
      <c r="S379" s="673"/>
    </row>
    <row r="380" spans="1:19" s="3" customFormat="1" ht="13.5">
      <c r="A380" s="156" t="s">
        <v>303</v>
      </c>
      <c r="B380" s="675" t="s">
        <v>304</v>
      </c>
      <c r="C380" s="169"/>
      <c r="D380" s="752"/>
      <c r="E380" s="678"/>
      <c r="F380" s="849"/>
      <c r="G380" s="738"/>
      <c r="H380" s="673"/>
      <c r="I380" s="2"/>
      <c r="J380" s="2"/>
      <c r="K380" s="2"/>
      <c r="L380" s="673"/>
      <c r="M380" s="673"/>
      <c r="N380" s="2"/>
      <c r="O380" s="673"/>
      <c r="P380" s="673"/>
      <c r="Q380" s="673"/>
      <c r="R380" s="673"/>
      <c r="S380" s="673"/>
    </row>
    <row r="381" spans="1:19" s="3" customFormat="1" ht="13.5">
      <c r="A381" s="156" t="s">
        <v>90</v>
      </c>
      <c r="B381" s="670" t="s">
        <v>298</v>
      </c>
      <c r="C381" s="679" t="s">
        <v>291</v>
      </c>
      <c r="D381" s="752">
        <v>20</v>
      </c>
      <c r="E381" s="678">
        <v>0</v>
      </c>
      <c r="F381" s="678">
        <v>0</v>
      </c>
      <c r="G381" s="738">
        <f t="shared" si="0"/>
        <v>0</v>
      </c>
      <c r="H381" s="673"/>
      <c r="I381" s="2"/>
      <c r="J381" s="2"/>
      <c r="K381" s="2"/>
      <c r="L381" s="673"/>
      <c r="M381" s="673"/>
      <c r="N381" s="2"/>
      <c r="O381" s="673"/>
      <c r="P381" s="673"/>
      <c r="Q381" s="673"/>
      <c r="R381" s="673"/>
      <c r="S381" s="673"/>
    </row>
    <row r="382" spans="1:19" s="3" customFormat="1" ht="13.5">
      <c r="A382" s="156" t="s">
        <v>90</v>
      </c>
      <c r="B382" s="670" t="s">
        <v>299</v>
      </c>
      <c r="C382" s="679" t="s">
        <v>291</v>
      </c>
      <c r="D382" s="752">
        <v>10</v>
      </c>
      <c r="E382" s="678">
        <v>0</v>
      </c>
      <c r="F382" s="678">
        <v>0</v>
      </c>
      <c r="G382" s="738">
        <f t="shared" si="0"/>
        <v>0</v>
      </c>
      <c r="H382" s="673"/>
      <c r="I382" s="2"/>
      <c r="J382" s="2"/>
      <c r="K382" s="2"/>
      <c r="L382" s="673"/>
      <c r="M382" s="673"/>
      <c r="N382" s="2"/>
      <c r="O382" s="673"/>
      <c r="P382" s="673"/>
      <c r="Q382" s="673"/>
      <c r="R382" s="673"/>
      <c r="S382" s="673"/>
    </row>
    <row r="383" spans="1:19" s="3" customFormat="1" ht="13.5">
      <c r="A383" s="156" t="s">
        <v>97</v>
      </c>
      <c r="B383" s="670" t="s">
        <v>300</v>
      </c>
      <c r="C383" s="679" t="s">
        <v>291</v>
      </c>
      <c r="D383" s="752">
        <v>10</v>
      </c>
      <c r="E383" s="678">
        <v>0</v>
      </c>
      <c r="F383" s="678">
        <v>0</v>
      </c>
      <c r="G383" s="738">
        <f t="shared" si="0"/>
        <v>0</v>
      </c>
      <c r="H383" s="673"/>
      <c r="I383" s="2"/>
      <c r="J383" s="2"/>
      <c r="K383" s="2"/>
      <c r="L383" s="673"/>
      <c r="M383" s="673"/>
      <c r="N383" s="2"/>
      <c r="O383" s="673"/>
      <c r="P383" s="673"/>
      <c r="Q383" s="673"/>
      <c r="R383" s="673"/>
      <c r="S383" s="673"/>
    </row>
    <row r="384" spans="1:19" s="3" customFormat="1">
      <c r="A384" s="156"/>
      <c r="B384" s="670"/>
      <c r="C384" s="679"/>
      <c r="D384" s="752"/>
      <c r="E384" s="678"/>
      <c r="F384" s="849"/>
      <c r="G384" s="738"/>
      <c r="H384" s="673"/>
      <c r="I384" s="2"/>
      <c r="J384" s="2"/>
      <c r="K384" s="2"/>
      <c r="L384" s="673"/>
      <c r="M384" s="673"/>
      <c r="N384" s="2"/>
      <c r="O384" s="673"/>
      <c r="P384" s="673"/>
      <c r="Q384" s="673"/>
      <c r="R384" s="673"/>
      <c r="S384" s="673"/>
    </row>
    <row r="385" spans="1:19" s="3" customFormat="1" ht="13.5">
      <c r="A385" s="860" t="s">
        <v>305</v>
      </c>
      <c r="B385" s="861" t="s">
        <v>306</v>
      </c>
      <c r="C385" s="862"/>
      <c r="D385" s="863"/>
      <c r="E385" s="678"/>
      <c r="F385" s="849"/>
      <c r="G385" s="738"/>
      <c r="H385" s="673"/>
      <c r="I385" s="2"/>
      <c r="J385" s="2"/>
      <c r="K385" s="2"/>
      <c r="L385" s="673"/>
      <c r="M385" s="673"/>
      <c r="N385" s="2"/>
      <c r="O385" s="673"/>
      <c r="P385" s="673"/>
      <c r="Q385" s="673"/>
      <c r="R385" s="673"/>
      <c r="S385" s="673"/>
    </row>
    <row r="386" spans="1:19" s="3" customFormat="1" ht="13.5">
      <c r="A386" s="860" t="s">
        <v>90</v>
      </c>
      <c r="B386" s="864" t="s">
        <v>298</v>
      </c>
      <c r="C386" s="862" t="s">
        <v>291</v>
      </c>
      <c r="D386" s="863">
        <v>3</v>
      </c>
      <c r="E386" s="678"/>
      <c r="F386" s="849"/>
      <c r="G386" s="738"/>
      <c r="H386" s="673"/>
      <c r="I386" s="2"/>
      <c r="J386" s="2"/>
      <c r="K386" s="2"/>
      <c r="L386" s="673"/>
      <c r="M386" s="673"/>
      <c r="N386" s="2"/>
      <c r="O386" s="673"/>
      <c r="P386" s="673"/>
      <c r="Q386" s="673"/>
      <c r="R386" s="673"/>
      <c r="S386" s="673"/>
    </row>
    <row r="387" spans="1:19" s="3" customFormat="1" ht="13.5">
      <c r="A387" s="860" t="s">
        <v>90</v>
      </c>
      <c r="B387" s="864" t="s">
        <v>307</v>
      </c>
      <c r="C387" s="862" t="s">
        <v>291</v>
      </c>
      <c r="D387" s="863">
        <v>2</v>
      </c>
      <c r="E387" s="678"/>
      <c r="F387" s="849"/>
      <c r="G387" s="738"/>
      <c r="H387" s="673"/>
      <c r="I387" s="2"/>
      <c r="J387" s="2"/>
      <c r="K387" s="2"/>
      <c r="L387" s="673"/>
      <c r="M387" s="673"/>
      <c r="N387" s="2"/>
      <c r="O387" s="673"/>
      <c r="P387" s="673"/>
      <c r="Q387" s="673"/>
      <c r="R387" s="673"/>
      <c r="S387" s="673"/>
    </row>
    <row r="388" spans="1:19" s="3" customFormat="1" ht="13.5">
      <c r="A388" s="860" t="s">
        <v>97</v>
      </c>
      <c r="B388" s="864" t="s">
        <v>308</v>
      </c>
      <c r="C388" s="862" t="s">
        <v>291</v>
      </c>
      <c r="D388" s="863">
        <v>1</v>
      </c>
      <c r="E388" s="678"/>
      <c r="F388" s="849"/>
      <c r="G388" s="738"/>
      <c r="H388" s="673"/>
      <c r="I388" s="2"/>
      <c r="J388" s="2"/>
      <c r="K388" s="2"/>
      <c r="L388" s="673"/>
      <c r="M388" s="673"/>
      <c r="N388" s="2"/>
      <c r="O388" s="673"/>
      <c r="P388" s="673"/>
      <c r="Q388" s="673"/>
      <c r="R388" s="673"/>
      <c r="S388" s="673"/>
    </row>
    <row r="389" spans="1:19" s="3" customFormat="1" ht="13.5">
      <c r="A389" s="860" t="s">
        <v>280</v>
      </c>
      <c r="B389" s="864" t="s">
        <v>309</v>
      </c>
      <c r="C389" s="862" t="s">
        <v>291</v>
      </c>
      <c r="D389" s="863">
        <v>2</v>
      </c>
      <c r="E389" s="678"/>
      <c r="F389" s="849"/>
      <c r="G389" s="738"/>
      <c r="H389" s="673"/>
      <c r="I389" s="2"/>
      <c r="J389" s="2"/>
      <c r="K389" s="2"/>
      <c r="L389" s="673"/>
      <c r="M389" s="673"/>
      <c r="N389" s="2"/>
      <c r="O389" s="673"/>
      <c r="P389" s="673"/>
      <c r="Q389" s="673"/>
      <c r="R389" s="673"/>
      <c r="S389" s="673"/>
    </row>
    <row r="390" spans="1:19" s="3" customFormat="1" ht="13.5">
      <c r="A390" s="860" t="s">
        <v>310</v>
      </c>
      <c r="B390" s="864" t="s">
        <v>311</v>
      </c>
      <c r="C390" s="862" t="s">
        <v>291</v>
      </c>
      <c r="D390" s="863">
        <v>1</v>
      </c>
      <c r="E390" s="678"/>
      <c r="F390" s="849"/>
      <c r="G390" s="738"/>
      <c r="H390" s="673"/>
      <c r="I390" s="2"/>
      <c r="J390" s="2"/>
      <c r="K390" s="2"/>
      <c r="L390" s="673"/>
      <c r="M390" s="673"/>
      <c r="N390" s="2"/>
      <c r="O390" s="673"/>
      <c r="P390" s="673"/>
      <c r="Q390" s="673"/>
      <c r="R390" s="673"/>
      <c r="S390" s="673"/>
    </row>
    <row r="391" spans="1:19" s="3" customFormat="1" ht="13.5">
      <c r="A391" s="860" t="s">
        <v>312</v>
      </c>
      <c r="B391" s="864" t="s">
        <v>313</v>
      </c>
      <c r="C391" s="862" t="s">
        <v>291</v>
      </c>
      <c r="D391" s="863">
        <v>2</v>
      </c>
      <c r="E391" s="678"/>
      <c r="F391" s="849"/>
      <c r="G391" s="738"/>
      <c r="H391" s="673"/>
      <c r="I391" s="2"/>
      <c r="J391" s="2"/>
      <c r="K391" s="2"/>
      <c r="L391" s="673"/>
      <c r="M391" s="673"/>
      <c r="N391" s="2"/>
      <c r="O391" s="673"/>
      <c r="P391" s="673"/>
      <c r="Q391" s="673"/>
      <c r="R391" s="673"/>
      <c r="S391" s="673"/>
    </row>
    <row r="392" spans="1:19" s="3" customFormat="1" ht="13.5">
      <c r="A392" s="860" t="s">
        <v>314</v>
      </c>
      <c r="B392" s="864" t="s">
        <v>315</v>
      </c>
      <c r="C392" s="862" t="s">
        <v>291</v>
      </c>
      <c r="D392" s="863">
        <v>1</v>
      </c>
      <c r="E392" s="678"/>
      <c r="F392" s="849"/>
      <c r="G392" s="738"/>
      <c r="H392" s="673"/>
      <c r="I392" s="2"/>
      <c r="J392" s="2"/>
      <c r="K392" s="2"/>
      <c r="L392" s="673"/>
      <c r="M392" s="673"/>
      <c r="N392" s="2"/>
      <c r="O392" s="673"/>
      <c r="P392" s="673"/>
      <c r="Q392" s="673"/>
      <c r="R392" s="673"/>
      <c r="S392" s="673"/>
    </row>
    <row r="393" spans="1:19" s="3" customFormat="1" ht="13.5">
      <c r="A393" s="860" t="s">
        <v>316</v>
      </c>
      <c r="B393" s="864" t="s">
        <v>317</v>
      </c>
      <c r="C393" s="862" t="s">
        <v>291</v>
      </c>
      <c r="D393" s="863">
        <v>5</v>
      </c>
      <c r="E393" s="678"/>
      <c r="F393" s="849"/>
      <c r="G393" s="738"/>
      <c r="H393" s="673"/>
      <c r="I393" s="2"/>
      <c r="J393" s="2"/>
      <c r="K393" s="2"/>
      <c r="L393" s="673"/>
      <c r="M393" s="673"/>
      <c r="N393" s="2"/>
      <c r="O393" s="673"/>
      <c r="P393" s="673"/>
      <c r="Q393" s="673"/>
      <c r="R393" s="673"/>
      <c r="S393" s="673"/>
    </row>
    <row r="394" spans="1:19" s="3" customFormat="1" ht="13.5">
      <c r="A394" s="860" t="s">
        <v>295</v>
      </c>
      <c r="B394" s="864" t="s">
        <v>318</v>
      </c>
      <c r="C394" s="862" t="s">
        <v>291</v>
      </c>
      <c r="D394" s="863">
        <v>5</v>
      </c>
      <c r="E394" s="678"/>
      <c r="F394" s="849"/>
      <c r="G394" s="738"/>
      <c r="H394" s="673"/>
      <c r="I394" s="2"/>
      <c r="J394" s="2"/>
      <c r="K394" s="2"/>
      <c r="L394" s="673"/>
      <c r="M394" s="673"/>
      <c r="N394" s="2"/>
      <c r="O394" s="673"/>
      <c r="P394" s="673"/>
      <c r="Q394" s="673"/>
      <c r="R394" s="673"/>
      <c r="S394" s="673"/>
    </row>
    <row r="395" spans="1:19" s="3" customFormat="1" ht="13.5">
      <c r="A395" s="860" t="s">
        <v>319</v>
      </c>
      <c r="B395" s="864" t="s">
        <v>320</v>
      </c>
      <c r="C395" s="862" t="s">
        <v>291</v>
      </c>
      <c r="D395" s="863">
        <v>1</v>
      </c>
      <c r="E395" s="678"/>
      <c r="F395" s="849"/>
      <c r="G395" s="738"/>
      <c r="H395" s="673"/>
      <c r="I395" s="2"/>
      <c r="J395" s="2"/>
      <c r="K395" s="2"/>
      <c r="L395" s="673"/>
      <c r="M395" s="673"/>
      <c r="N395" s="2"/>
      <c r="O395" s="673"/>
      <c r="P395" s="673"/>
      <c r="Q395" s="673"/>
      <c r="R395" s="673"/>
      <c r="S395" s="673"/>
    </row>
    <row r="396" spans="1:19" s="3" customFormat="1" ht="13.5">
      <c r="A396" s="860" t="s">
        <v>321</v>
      </c>
      <c r="B396" s="864" t="s">
        <v>322</v>
      </c>
      <c r="C396" s="862" t="s">
        <v>291</v>
      </c>
      <c r="D396" s="863">
        <v>1</v>
      </c>
      <c r="E396" s="678"/>
      <c r="F396" s="849"/>
      <c r="G396" s="738"/>
      <c r="H396" s="673"/>
      <c r="I396" s="2"/>
      <c r="J396" s="2"/>
      <c r="K396" s="2"/>
      <c r="L396" s="673"/>
      <c r="M396" s="673"/>
      <c r="N396" s="2"/>
      <c r="O396" s="673"/>
      <c r="P396" s="673"/>
      <c r="Q396" s="673"/>
      <c r="R396" s="673"/>
      <c r="S396" s="673"/>
    </row>
    <row r="397" spans="1:19" s="3" customFormat="1">
      <c r="A397" s="156"/>
      <c r="B397" s="670"/>
      <c r="C397" s="679"/>
      <c r="D397" s="752"/>
      <c r="E397" s="678"/>
      <c r="F397" s="849"/>
      <c r="G397" s="738"/>
      <c r="H397" s="673"/>
      <c r="I397" s="2"/>
      <c r="J397" s="2"/>
      <c r="K397" s="2"/>
      <c r="L397" s="673"/>
      <c r="M397" s="673"/>
      <c r="N397" s="2"/>
      <c r="O397" s="673"/>
      <c r="P397" s="673"/>
      <c r="Q397" s="673"/>
      <c r="R397" s="673"/>
      <c r="S397" s="673"/>
    </row>
    <row r="398" spans="1:19" s="3" customFormat="1">
      <c r="A398" s="150" t="s">
        <v>323</v>
      </c>
      <c r="B398" s="155" t="s">
        <v>324</v>
      </c>
      <c r="C398" s="680"/>
      <c r="D398" s="743"/>
      <c r="E398" s="678"/>
      <c r="F398" s="849"/>
      <c r="G398" s="738"/>
      <c r="H398" s="673"/>
      <c r="I398" s="695"/>
      <c r="J398" s="2"/>
      <c r="K398" s="2"/>
      <c r="L398" s="673"/>
      <c r="M398" s="673"/>
      <c r="N398" s="2"/>
      <c r="O398" s="673"/>
      <c r="P398" s="673"/>
      <c r="Q398" s="673"/>
      <c r="R398" s="673"/>
      <c r="S398" s="673"/>
    </row>
    <row r="399" spans="1:19" s="3" customFormat="1">
      <c r="A399" s="150"/>
      <c r="B399" s="681"/>
      <c r="C399" s="680"/>
      <c r="D399" s="743"/>
      <c r="E399" s="678"/>
      <c r="F399" s="849"/>
      <c r="G399" s="738"/>
      <c r="H399" s="673"/>
      <c r="I399" s="695"/>
      <c r="J399" s="2"/>
      <c r="K399" s="2"/>
      <c r="L399" s="673"/>
      <c r="M399" s="673"/>
      <c r="N399" s="2"/>
      <c r="O399" s="673"/>
      <c r="P399" s="673"/>
      <c r="Q399" s="673"/>
      <c r="R399" s="673"/>
      <c r="S399" s="673"/>
    </row>
    <row r="400" spans="1:19" s="3" customFormat="1" ht="54.75">
      <c r="A400" s="150"/>
      <c r="B400" s="683" t="s">
        <v>325</v>
      </c>
      <c r="C400" s="682"/>
      <c r="D400" s="680"/>
      <c r="E400" s="743"/>
      <c r="F400" s="851"/>
      <c r="G400" s="738"/>
      <c r="H400" s="755"/>
      <c r="I400" s="695"/>
      <c r="J400" s="2"/>
      <c r="K400" s="2"/>
      <c r="L400" s="2"/>
      <c r="M400" s="673"/>
      <c r="N400" s="673"/>
      <c r="O400" s="2"/>
      <c r="P400" s="673"/>
      <c r="Q400" s="673"/>
      <c r="R400" s="673"/>
      <c r="S400" s="673"/>
    </row>
    <row r="401" spans="1:19" s="3" customFormat="1" ht="13.5">
      <c r="A401" s="150"/>
      <c r="B401" s="684" t="s">
        <v>326</v>
      </c>
      <c r="C401" s="682"/>
      <c r="D401" s="680"/>
      <c r="E401" s="743"/>
      <c r="F401" s="851"/>
      <c r="G401" s="738"/>
      <c r="H401" s="755"/>
      <c r="I401" s="695"/>
      <c r="J401" s="2"/>
      <c r="K401" s="2"/>
      <c r="L401" s="2"/>
      <c r="M401" s="673"/>
      <c r="N401" s="673"/>
      <c r="O401" s="2"/>
      <c r="P401" s="673"/>
      <c r="Q401" s="673"/>
      <c r="R401" s="673"/>
      <c r="S401" s="673"/>
    </row>
    <row r="402" spans="1:19" s="3" customFormat="1">
      <c r="A402" s="150"/>
      <c r="B402" s="673"/>
      <c r="C402" s="680"/>
      <c r="D402" s="743"/>
      <c r="E402" s="678"/>
      <c r="F402" s="849"/>
      <c r="G402" s="738">
        <f t="shared" si="0"/>
        <v>0</v>
      </c>
      <c r="H402" s="673"/>
      <c r="I402" s="695"/>
      <c r="J402" s="2"/>
      <c r="K402" s="2"/>
      <c r="L402" s="673"/>
      <c r="M402" s="673"/>
      <c r="N402" s="2"/>
      <c r="O402" s="673"/>
      <c r="P402" s="673"/>
      <c r="Q402" s="673"/>
      <c r="R402" s="673"/>
      <c r="S402" s="673"/>
    </row>
    <row r="403" spans="1:19" s="3" customFormat="1" ht="13.5">
      <c r="A403" s="156" t="s">
        <v>90</v>
      </c>
      <c r="B403" s="670" t="s">
        <v>327</v>
      </c>
      <c r="C403" s="169" t="s">
        <v>291</v>
      </c>
      <c r="D403" s="752">
        <v>1</v>
      </c>
      <c r="E403" s="678">
        <v>0</v>
      </c>
      <c r="F403" s="678">
        <v>0</v>
      </c>
      <c r="G403" s="738">
        <f t="shared" si="0"/>
        <v>0</v>
      </c>
      <c r="H403" s="673"/>
      <c r="I403" s="2"/>
      <c r="J403" s="2"/>
      <c r="K403" s="2"/>
      <c r="L403" s="673"/>
      <c r="M403" s="673"/>
      <c r="N403" s="2"/>
      <c r="O403" s="673"/>
      <c r="P403" s="673"/>
      <c r="Q403" s="673"/>
      <c r="R403" s="673"/>
      <c r="S403" s="673"/>
    </row>
    <row r="404" spans="1:19" s="3" customFormat="1" ht="13.5">
      <c r="A404" s="156" t="s">
        <v>95</v>
      </c>
      <c r="B404" s="670" t="s">
        <v>328</v>
      </c>
      <c r="C404" s="680" t="s">
        <v>291</v>
      </c>
      <c r="D404" s="743">
        <v>2</v>
      </c>
      <c r="E404" s="678">
        <v>0</v>
      </c>
      <c r="F404" s="678">
        <v>0</v>
      </c>
      <c r="G404" s="738">
        <f t="shared" si="0"/>
        <v>0</v>
      </c>
      <c r="H404" s="673"/>
      <c r="I404" s="2"/>
      <c r="J404" s="2"/>
      <c r="K404" s="2"/>
      <c r="L404" s="673"/>
      <c r="M404" s="673"/>
      <c r="N404" s="2"/>
      <c r="O404" s="673"/>
      <c r="P404" s="673"/>
      <c r="Q404" s="673"/>
      <c r="R404" s="673"/>
      <c r="S404" s="673"/>
    </row>
    <row r="405" spans="1:19" s="3" customFormat="1">
      <c r="A405" s="156"/>
      <c r="B405" s="670"/>
      <c r="C405" s="154"/>
      <c r="D405" s="743"/>
      <c r="E405" s="678"/>
      <c r="F405" s="849"/>
      <c r="G405" s="738"/>
      <c r="H405" s="673"/>
      <c r="I405" s="2"/>
      <c r="J405" s="2"/>
      <c r="K405" s="2"/>
      <c r="L405" s="2"/>
      <c r="M405"/>
      <c r="N405" s="9"/>
      <c r="O405" s="673"/>
      <c r="P405" s="673"/>
      <c r="Q405" s="673"/>
      <c r="R405" s="673"/>
      <c r="S405" s="673"/>
    </row>
    <row r="406" spans="1:19" s="3" customFormat="1">
      <c r="A406" s="150">
        <v>2.6</v>
      </c>
      <c r="B406" s="155" t="s">
        <v>329</v>
      </c>
      <c r="C406" s="680"/>
      <c r="D406" s="743"/>
      <c r="E406" s="678"/>
      <c r="F406" s="849"/>
      <c r="G406" s="738"/>
      <c r="H406" s="673"/>
      <c r="I406" s="2"/>
      <c r="J406" s="2"/>
      <c r="K406" s="2"/>
      <c r="L406" s="2"/>
      <c r="M406"/>
      <c r="N406" s="9"/>
      <c r="O406" s="673"/>
      <c r="P406" s="673"/>
      <c r="Q406" s="673"/>
      <c r="R406" s="673"/>
      <c r="S406" s="673"/>
    </row>
    <row r="407" spans="1:19" s="3" customFormat="1">
      <c r="A407" s="150"/>
      <c r="B407" s="673"/>
      <c r="C407" s="680"/>
      <c r="D407" s="743"/>
      <c r="E407" s="678"/>
      <c r="F407" s="849"/>
      <c r="G407" s="738"/>
      <c r="H407" s="673"/>
      <c r="I407" s="2"/>
      <c r="J407" s="2"/>
      <c r="K407" s="2"/>
      <c r="L407" s="2"/>
      <c r="M407"/>
      <c r="N407" s="9"/>
      <c r="O407" s="673"/>
      <c r="P407" s="673"/>
      <c r="Q407" s="673"/>
      <c r="R407" s="673"/>
      <c r="S407" s="673"/>
    </row>
    <row r="408" spans="1:19" s="3" customFormat="1">
      <c r="A408" s="716" t="s">
        <v>90</v>
      </c>
      <c r="B408" s="717" t="s">
        <v>296</v>
      </c>
      <c r="C408" s="756"/>
      <c r="D408" s="747"/>
      <c r="E408" s="757"/>
      <c r="F408" s="852"/>
      <c r="G408" s="738"/>
      <c r="H408" s="673"/>
      <c r="I408" s="2"/>
      <c r="J408" s="2"/>
      <c r="K408" s="2"/>
      <c r="L408" s="2"/>
      <c r="M408"/>
      <c r="N408" s="9"/>
      <c r="O408" s="673"/>
      <c r="P408" s="673"/>
      <c r="Q408" s="673"/>
      <c r="R408" s="673"/>
      <c r="S408" s="673"/>
    </row>
    <row r="409" spans="1:19" s="3" customFormat="1" ht="13.5">
      <c r="A409" s="156" t="s">
        <v>295</v>
      </c>
      <c r="B409" s="670" t="s">
        <v>330</v>
      </c>
      <c r="C409" s="169" t="s">
        <v>291</v>
      </c>
      <c r="D409" s="752">
        <v>1</v>
      </c>
      <c r="E409" s="678">
        <v>0</v>
      </c>
      <c r="F409" s="678">
        <v>0</v>
      </c>
      <c r="G409" s="738">
        <f t="shared" ref="G405:G428" si="1">D409*E409+F409</f>
        <v>0</v>
      </c>
      <c r="H409" s="673"/>
      <c r="I409" s="2"/>
      <c r="J409" s="2"/>
      <c r="K409" s="2"/>
      <c r="L409" s="2"/>
      <c r="M409"/>
      <c r="N409" s="9"/>
      <c r="O409" s="673"/>
      <c r="P409" s="673"/>
      <c r="Q409" s="673"/>
      <c r="R409" s="673"/>
      <c r="S409" s="673"/>
    </row>
    <row r="410" spans="1:19" s="3" customFormat="1" ht="13.5">
      <c r="A410" s="156" t="s">
        <v>301</v>
      </c>
      <c r="B410" s="670" t="s">
        <v>331</v>
      </c>
      <c r="C410" s="671" t="s">
        <v>291</v>
      </c>
      <c r="D410" s="674">
        <v>1</v>
      </c>
      <c r="E410" s="753">
        <v>0</v>
      </c>
      <c r="F410" s="678">
        <v>0</v>
      </c>
      <c r="G410" s="738">
        <f t="shared" si="1"/>
        <v>0</v>
      </c>
      <c r="H410" s="673"/>
      <c r="I410" s="2"/>
      <c r="J410" s="2"/>
      <c r="K410" s="2"/>
      <c r="L410" s="2"/>
      <c r="M410"/>
      <c r="N410" s="9"/>
      <c r="O410" s="673"/>
      <c r="P410" s="673"/>
      <c r="Q410" s="673"/>
      <c r="R410" s="673"/>
      <c r="S410" s="673"/>
    </row>
    <row r="411" spans="1:19" s="3" customFormat="1" ht="13.5">
      <c r="A411" s="156" t="s">
        <v>303</v>
      </c>
      <c r="B411" s="670" t="s">
        <v>332</v>
      </c>
      <c r="C411" s="169" t="s">
        <v>291</v>
      </c>
      <c r="D411" s="752">
        <v>2</v>
      </c>
      <c r="E411" s="678">
        <v>0</v>
      </c>
      <c r="F411" s="678">
        <v>0</v>
      </c>
      <c r="G411" s="738">
        <f t="shared" si="1"/>
        <v>0</v>
      </c>
      <c r="H411" s="673"/>
      <c r="I411" s="2"/>
      <c r="J411" s="2"/>
      <c r="K411" s="2"/>
      <c r="L411" s="2"/>
      <c r="M411"/>
      <c r="N411" s="9"/>
      <c r="O411" s="673"/>
      <c r="P411" s="673"/>
      <c r="Q411" s="673"/>
      <c r="R411" s="673"/>
      <c r="S411" s="673"/>
    </row>
    <row r="412" spans="1:19" s="3" customFormat="1" ht="13.5">
      <c r="A412" s="156" t="s">
        <v>305</v>
      </c>
      <c r="B412" s="670" t="s">
        <v>333</v>
      </c>
      <c r="C412" s="154" t="s">
        <v>291</v>
      </c>
      <c r="D412" s="743">
        <v>1</v>
      </c>
      <c r="E412" s="678">
        <v>0</v>
      </c>
      <c r="F412" s="678">
        <v>0</v>
      </c>
      <c r="G412" s="738">
        <f t="shared" si="1"/>
        <v>0</v>
      </c>
      <c r="H412" s="673"/>
      <c r="I412" s="2"/>
      <c r="J412" s="2"/>
      <c r="K412" s="2"/>
      <c r="L412" s="2"/>
      <c r="M412"/>
      <c r="N412" s="9"/>
      <c r="O412" s="673"/>
      <c r="P412" s="673"/>
      <c r="Q412" s="673"/>
      <c r="R412" s="673"/>
      <c r="S412" s="673"/>
    </row>
    <row r="413" spans="1:19" s="3" customFormat="1">
      <c r="A413" s="156"/>
      <c r="B413" s="670"/>
      <c r="C413" s="154"/>
      <c r="D413" s="743"/>
      <c r="E413" s="678"/>
      <c r="F413" s="849"/>
      <c r="G413" s="738"/>
      <c r="H413" s="673"/>
      <c r="I413" s="2"/>
      <c r="J413" s="2"/>
      <c r="K413" s="2"/>
      <c r="L413" s="2"/>
      <c r="M413"/>
      <c r="N413" s="9"/>
      <c r="O413" s="673"/>
      <c r="P413" s="673"/>
      <c r="Q413" s="673"/>
      <c r="R413" s="673"/>
      <c r="S413" s="673"/>
    </row>
    <row r="414" spans="1:19" s="3" customFormat="1">
      <c r="A414" s="150" t="s">
        <v>95</v>
      </c>
      <c r="B414" s="685" t="s">
        <v>334</v>
      </c>
      <c r="C414" s="680"/>
      <c r="D414" s="743"/>
      <c r="E414" s="678"/>
      <c r="F414" s="849"/>
      <c r="G414" s="738"/>
      <c r="H414" s="673"/>
      <c r="I414" s="2"/>
      <c r="J414" s="2"/>
      <c r="K414" s="2"/>
      <c r="L414" s="2"/>
      <c r="M414"/>
      <c r="N414" s="9"/>
      <c r="O414" s="673"/>
      <c r="P414" s="673"/>
      <c r="Q414" s="673"/>
      <c r="R414" s="673"/>
      <c r="S414" s="673"/>
    </row>
    <row r="415" spans="1:19" s="3" customFormat="1" ht="13.5">
      <c r="A415" s="156" t="s">
        <v>295</v>
      </c>
      <c r="B415" s="670" t="s">
        <v>335</v>
      </c>
      <c r="C415" s="169" t="s">
        <v>291</v>
      </c>
      <c r="D415" s="752">
        <v>2</v>
      </c>
      <c r="E415" s="678">
        <v>0</v>
      </c>
      <c r="F415" s="678">
        <v>0</v>
      </c>
      <c r="G415" s="738">
        <f t="shared" si="1"/>
        <v>0</v>
      </c>
      <c r="H415" s="673"/>
      <c r="I415" s="2"/>
      <c r="J415" s="2"/>
      <c r="K415" s="2"/>
      <c r="L415" s="2"/>
      <c r="M415"/>
      <c r="N415" s="9"/>
      <c r="O415" s="673"/>
      <c r="P415" s="673"/>
      <c r="Q415" s="673"/>
      <c r="R415" s="673"/>
      <c r="S415" s="673"/>
    </row>
    <row r="416" spans="1:19" s="3" customFormat="1">
      <c r="A416" s="156" t="s">
        <v>301</v>
      </c>
      <c r="B416" s="841" t="s">
        <v>331</v>
      </c>
      <c r="C416" s="671" t="s">
        <v>291</v>
      </c>
      <c r="D416" s="674">
        <v>1</v>
      </c>
      <c r="E416" s="753">
        <v>0</v>
      </c>
      <c r="F416" s="678">
        <v>0</v>
      </c>
      <c r="G416" s="738">
        <f t="shared" si="1"/>
        <v>0</v>
      </c>
      <c r="H416" s="673"/>
      <c r="I416" s="2"/>
      <c r="J416" s="2"/>
      <c r="K416" s="2"/>
      <c r="L416" s="2"/>
      <c r="M416"/>
      <c r="N416" s="9"/>
      <c r="O416" s="673"/>
      <c r="P416" s="673"/>
      <c r="Q416" s="673"/>
      <c r="R416" s="673"/>
      <c r="S416" s="673"/>
    </row>
    <row r="417" spans="1:19" s="3" customFormat="1" ht="13.5">
      <c r="A417" s="156" t="s">
        <v>303</v>
      </c>
      <c r="B417" s="670" t="s">
        <v>332</v>
      </c>
      <c r="C417" s="169" t="s">
        <v>291</v>
      </c>
      <c r="D417" s="752">
        <v>2</v>
      </c>
      <c r="E417" s="678">
        <v>0</v>
      </c>
      <c r="F417" s="678">
        <v>0</v>
      </c>
      <c r="G417" s="738">
        <f t="shared" si="1"/>
        <v>0</v>
      </c>
      <c r="H417" s="673"/>
      <c r="I417" s="2"/>
      <c r="J417" s="2"/>
      <c r="K417" s="2"/>
      <c r="L417" s="2"/>
      <c r="M417"/>
      <c r="N417" s="9"/>
      <c r="O417" s="673"/>
      <c r="P417" s="673"/>
      <c r="Q417" s="673"/>
      <c r="R417" s="673"/>
      <c r="S417" s="673"/>
    </row>
    <row r="418" spans="1:19" s="3" customFormat="1" ht="13.5">
      <c r="A418" s="156" t="s">
        <v>305</v>
      </c>
      <c r="B418" s="670" t="s">
        <v>333</v>
      </c>
      <c r="C418" s="154" t="s">
        <v>291</v>
      </c>
      <c r="D418" s="743">
        <v>1</v>
      </c>
      <c r="E418" s="678">
        <v>0</v>
      </c>
      <c r="F418" s="678">
        <v>0</v>
      </c>
      <c r="G418" s="738">
        <f t="shared" si="1"/>
        <v>0</v>
      </c>
      <c r="H418" s="673"/>
      <c r="I418" s="2"/>
      <c r="J418" s="2"/>
      <c r="K418" s="2"/>
      <c r="L418" s="2"/>
      <c r="M418"/>
      <c r="N418" s="9"/>
      <c r="O418" s="673"/>
      <c r="P418" s="673"/>
      <c r="Q418" s="673"/>
      <c r="R418" s="673"/>
      <c r="S418" s="673"/>
    </row>
    <row r="419" spans="1:19" s="3" customFormat="1">
      <c r="A419" s="156"/>
      <c r="B419" s="670"/>
      <c r="C419" s="154"/>
      <c r="D419" s="743"/>
      <c r="E419" s="678"/>
      <c r="F419" s="849"/>
      <c r="G419" s="738"/>
      <c r="H419" s="673"/>
      <c r="I419" s="2"/>
      <c r="J419" s="2"/>
      <c r="K419" s="2"/>
      <c r="L419" s="2"/>
      <c r="M419"/>
      <c r="N419" s="9"/>
      <c r="O419" s="673"/>
      <c r="P419" s="673"/>
      <c r="Q419" s="673"/>
      <c r="R419" s="673"/>
      <c r="S419" s="673"/>
    </row>
    <row r="420" spans="1:19" s="3" customFormat="1">
      <c r="A420" s="150" t="s">
        <v>97</v>
      </c>
      <c r="B420" s="685" t="s">
        <v>304</v>
      </c>
      <c r="C420" s="680" t="s">
        <v>291</v>
      </c>
      <c r="D420" s="743">
        <v>10</v>
      </c>
      <c r="E420" s="678">
        <v>0</v>
      </c>
      <c r="F420" s="678">
        <v>0</v>
      </c>
      <c r="G420" s="738">
        <f t="shared" si="1"/>
        <v>0</v>
      </c>
      <c r="H420" s="673"/>
      <c r="I420" s="2"/>
      <c r="J420" s="2"/>
      <c r="K420" s="2"/>
      <c r="L420" s="2"/>
      <c r="M420"/>
      <c r="N420" s="9"/>
      <c r="O420" s="673"/>
      <c r="P420" s="673"/>
      <c r="Q420" s="673"/>
      <c r="R420" s="673"/>
      <c r="S420" s="673"/>
    </row>
    <row r="421" spans="1:19" s="3" customFormat="1" ht="13.5">
      <c r="A421" s="156" t="s">
        <v>295</v>
      </c>
      <c r="B421" s="670" t="s">
        <v>336</v>
      </c>
      <c r="C421" s="154" t="s">
        <v>291</v>
      </c>
      <c r="D421" s="743">
        <v>10</v>
      </c>
      <c r="E421" s="678">
        <v>0</v>
      </c>
      <c r="F421" s="678">
        <v>0</v>
      </c>
      <c r="G421" s="738">
        <f t="shared" si="1"/>
        <v>0</v>
      </c>
      <c r="H421" s="673"/>
      <c r="I421" s="2"/>
      <c r="J421" s="2"/>
      <c r="K421" s="2"/>
      <c r="L421" s="2"/>
      <c r="M421"/>
      <c r="N421" s="9"/>
      <c r="O421" s="673"/>
      <c r="P421" s="673"/>
      <c r="Q421" s="673"/>
      <c r="R421" s="673"/>
      <c r="S421" s="673"/>
    </row>
    <row r="422" spans="1:19" s="3" customFormat="1" ht="13.5">
      <c r="A422" s="156" t="s">
        <v>301</v>
      </c>
      <c r="B422" s="682" t="s">
        <v>337</v>
      </c>
      <c r="C422" s="154" t="s">
        <v>291</v>
      </c>
      <c r="D422" s="743">
        <v>10</v>
      </c>
      <c r="E422" s="678">
        <v>0</v>
      </c>
      <c r="F422" s="678">
        <v>0</v>
      </c>
      <c r="G422" s="738">
        <f t="shared" si="1"/>
        <v>0</v>
      </c>
      <c r="H422" s="673"/>
      <c r="I422" s="2"/>
      <c r="J422" s="2"/>
      <c r="K422" s="2"/>
      <c r="L422" s="2"/>
      <c r="M422"/>
      <c r="N422" s="9"/>
      <c r="O422" s="673"/>
      <c r="P422" s="673"/>
      <c r="Q422" s="673"/>
      <c r="R422" s="673"/>
      <c r="S422" s="673"/>
    </row>
    <row r="423" spans="1:19" s="3" customFormat="1">
      <c r="A423" s="156"/>
      <c r="B423" s="682"/>
      <c r="C423" s="154"/>
      <c r="D423" s="743"/>
      <c r="E423" s="678"/>
      <c r="F423" s="849"/>
      <c r="G423" s="738"/>
      <c r="H423" s="673"/>
      <c r="I423" s="2"/>
      <c r="J423" s="2"/>
      <c r="K423" s="2"/>
      <c r="L423" s="2"/>
      <c r="M423"/>
      <c r="N423" s="9"/>
      <c r="O423" s="673"/>
      <c r="P423" s="673"/>
      <c r="Q423" s="673"/>
      <c r="R423" s="673"/>
      <c r="S423" s="673"/>
    </row>
    <row r="424" spans="1:19" s="3" customFormat="1">
      <c r="A424" s="150" t="s">
        <v>280</v>
      </c>
      <c r="B424" s="685" t="s">
        <v>338</v>
      </c>
      <c r="C424" s="680" t="s">
        <v>291</v>
      </c>
      <c r="D424" s="743">
        <v>2</v>
      </c>
      <c r="E424" s="678">
        <v>0</v>
      </c>
      <c r="F424" s="678">
        <v>0</v>
      </c>
      <c r="G424" s="738">
        <f t="shared" si="1"/>
        <v>0</v>
      </c>
      <c r="H424" s="673"/>
      <c r="I424" s="2"/>
      <c r="J424" s="2"/>
      <c r="K424" s="2"/>
      <c r="L424" s="2"/>
      <c r="M424"/>
      <c r="N424" s="9"/>
      <c r="O424" s="673"/>
      <c r="P424" s="673"/>
      <c r="Q424" s="673"/>
      <c r="R424" s="673"/>
      <c r="S424" s="673"/>
    </row>
    <row r="425" spans="1:19" s="3" customFormat="1" ht="13.5">
      <c r="A425" s="156" t="s">
        <v>295</v>
      </c>
      <c r="B425" s="670" t="s">
        <v>339</v>
      </c>
      <c r="C425" s="169" t="s">
        <v>291</v>
      </c>
      <c r="D425" s="752">
        <v>2</v>
      </c>
      <c r="E425" s="678">
        <v>0</v>
      </c>
      <c r="F425" s="678">
        <v>0</v>
      </c>
      <c r="G425" s="738">
        <f t="shared" si="1"/>
        <v>0</v>
      </c>
      <c r="H425" s="673"/>
      <c r="I425" s="2"/>
      <c r="J425" s="2"/>
      <c r="K425" s="2"/>
      <c r="L425" s="2"/>
      <c r="M425"/>
      <c r="N425" s="9"/>
      <c r="O425" s="673"/>
      <c r="P425" s="673"/>
      <c r="Q425" s="673"/>
      <c r="R425" s="673"/>
      <c r="S425" s="673"/>
    </row>
    <row r="426" spans="1:19" s="3" customFormat="1" ht="13.5">
      <c r="A426" s="156" t="s">
        <v>301</v>
      </c>
      <c r="B426" s="668" t="s">
        <v>330</v>
      </c>
      <c r="C426" s="671" t="s">
        <v>291</v>
      </c>
      <c r="D426" s="674">
        <v>1</v>
      </c>
      <c r="E426" s="753">
        <v>0</v>
      </c>
      <c r="F426" s="678">
        <v>0</v>
      </c>
      <c r="G426" s="738">
        <f t="shared" si="1"/>
        <v>0</v>
      </c>
      <c r="H426" s="673"/>
      <c r="I426" s="2"/>
      <c r="J426" s="2"/>
      <c r="K426" s="2"/>
      <c r="L426" s="2"/>
      <c r="M426"/>
      <c r="N426" s="9"/>
      <c r="O426" s="673"/>
      <c r="P426" s="673"/>
      <c r="Q426" s="673"/>
      <c r="R426" s="673"/>
      <c r="S426" s="673"/>
    </row>
    <row r="427" spans="1:19" s="3" customFormat="1" ht="13.5">
      <c r="A427" s="156" t="s">
        <v>303</v>
      </c>
      <c r="B427" s="670" t="s">
        <v>340</v>
      </c>
      <c r="C427" s="169" t="s">
        <v>291</v>
      </c>
      <c r="D427" s="752">
        <v>3</v>
      </c>
      <c r="E427" s="678">
        <v>0</v>
      </c>
      <c r="F427" s="678">
        <v>0</v>
      </c>
      <c r="G427" s="738">
        <f t="shared" si="1"/>
        <v>0</v>
      </c>
      <c r="H427" s="673"/>
      <c r="I427" s="2"/>
      <c r="J427" s="2"/>
      <c r="K427" s="2"/>
      <c r="L427" s="2"/>
      <c r="M427"/>
      <c r="N427" s="9"/>
      <c r="O427" s="673"/>
      <c r="P427" s="673"/>
      <c r="Q427" s="673"/>
      <c r="R427" s="673"/>
      <c r="S427" s="673"/>
    </row>
    <row r="428" spans="1:19" s="3" customFormat="1" ht="13.5">
      <c r="A428" s="156" t="s">
        <v>303</v>
      </c>
      <c r="B428" s="670" t="s">
        <v>341</v>
      </c>
      <c r="C428" s="169" t="s">
        <v>291</v>
      </c>
      <c r="D428" s="752">
        <v>1</v>
      </c>
      <c r="E428" s="678">
        <v>0</v>
      </c>
      <c r="F428" s="678">
        <v>0</v>
      </c>
      <c r="G428" s="738">
        <f t="shared" si="1"/>
        <v>0</v>
      </c>
      <c r="H428" s="673"/>
      <c r="I428" s="2"/>
      <c r="J428" s="2"/>
      <c r="K428" s="2"/>
      <c r="L428" s="2"/>
      <c r="M428"/>
      <c r="N428" s="9"/>
      <c r="O428" s="673"/>
      <c r="P428" s="673"/>
      <c r="Q428" s="673"/>
      <c r="R428" s="673"/>
      <c r="S428" s="673"/>
    </row>
    <row r="429" spans="1:19" s="3" customFormat="1">
      <c r="A429" s="156"/>
      <c r="B429" s="670"/>
      <c r="C429" s="169"/>
      <c r="D429" s="752"/>
      <c r="E429" s="678"/>
      <c r="F429" s="849"/>
      <c r="G429" s="738"/>
      <c r="H429" s="673"/>
      <c r="I429" s="2"/>
      <c r="J429" s="2"/>
      <c r="K429" s="2"/>
      <c r="L429" s="2"/>
      <c r="M429"/>
      <c r="N429" s="9"/>
      <c r="O429" s="673"/>
      <c r="P429" s="673"/>
      <c r="Q429" s="673"/>
      <c r="R429" s="673"/>
      <c r="S429" s="673"/>
    </row>
    <row r="430" spans="1:19">
      <c r="A430" s="195" t="s">
        <v>342</v>
      </c>
      <c r="B430" s="192"/>
      <c r="C430" s="203"/>
      <c r="D430" s="203"/>
      <c r="E430" s="204"/>
      <c r="F430" s="204"/>
      <c r="G430" s="446">
        <f>SUM(G331:G428)</f>
        <v>0</v>
      </c>
      <c r="H430" s="2"/>
      <c r="I430" s="2"/>
      <c r="J430" s="2"/>
      <c r="K430" s="2"/>
      <c r="L430" s="2"/>
      <c r="M430" s="2"/>
      <c r="N430" s="2"/>
      <c r="O430" s="2"/>
      <c r="P430" s="2"/>
      <c r="Q430" s="2"/>
      <c r="R430" s="2"/>
      <c r="S430" s="2"/>
    </row>
    <row r="431" spans="1:19">
      <c r="A431" s="567" t="s">
        <v>52</v>
      </c>
      <c r="B431" s="11"/>
      <c r="C431" s="12"/>
      <c r="D431" s="12"/>
      <c r="E431" s="13"/>
      <c r="F431" s="13"/>
      <c r="G431" s="447"/>
      <c r="H431" s="2"/>
      <c r="I431" s="2"/>
      <c r="J431" s="2"/>
      <c r="K431" s="2"/>
      <c r="L431" s="2"/>
      <c r="M431" s="2"/>
      <c r="N431" s="2"/>
      <c r="O431" s="2"/>
      <c r="P431" s="2"/>
      <c r="Q431" s="2"/>
      <c r="R431" s="2"/>
      <c r="S431" s="2"/>
    </row>
    <row r="432" spans="1:19" s="2" customFormat="1">
      <c r="A432" s="171"/>
      <c r="B432" s="172"/>
      <c r="C432" s="173"/>
      <c r="D432" s="198"/>
      <c r="E432" s="174"/>
      <c r="F432" s="853"/>
      <c r="G432" s="175"/>
    </row>
    <row r="433" spans="1:19" s="2" customFormat="1">
      <c r="A433" s="176"/>
      <c r="B433" s="177" t="s">
        <v>12</v>
      </c>
      <c r="C433" s="178"/>
      <c r="D433" s="199"/>
      <c r="E433" s="179"/>
      <c r="F433" s="854"/>
      <c r="G433" s="180"/>
    </row>
    <row r="434" spans="1:19" s="2" customFormat="1">
      <c r="A434" s="176"/>
      <c r="B434" s="181"/>
      <c r="C434" s="178"/>
      <c r="D434" s="199"/>
      <c r="E434" s="179"/>
      <c r="F434" s="854"/>
      <c r="G434" s="180"/>
    </row>
    <row r="435" spans="1:19" s="3" customFormat="1">
      <c r="A435" s="150">
        <v>3.1</v>
      </c>
      <c r="B435" s="155" t="s">
        <v>270</v>
      </c>
      <c r="C435" s="680"/>
      <c r="D435" s="743"/>
      <c r="E435" s="678"/>
      <c r="F435" s="849"/>
      <c r="G435" s="744"/>
      <c r="H435" s="673"/>
      <c r="I435" s="2"/>
      <c r="J435" s="2"/>
      <c r="K435" s="2"/>
      <c r="L435" s="673"/>
      <c r="M435" s="673"/>
      <c r="N435" s="2"/>
      <c r="O435" s="673"/>
      <c r="P435" s="673"/>
      <c r="Q435" s="673"/>
      <c r="R435" s="673"/>
      <c r="S435" s="673"/>
    </row>
    <row r="436" spans="1:19" s="3" customFormat="1">
      <c r="A436" s="150" t="s">
        <v>343</v>
      </c>
      <c r="B436" s="155" t="s">
        <v>29</v>
      </c>
      <c r="C436" s="680"/>
      <c r="D436" s="743"/>
      <c r="E436" s="678"/>
      <c r="F436" s="849"/>
      <c r="G436" s="744"/>
      <c r="H436" s="673"/>
      <c r="I436" s="2"/>
      <c r="J436" s="2"/>
      <c r="K436" s="2"/>
      <c r="L436" s="673"/>
      <c r="M436" s="673"/>
      <c r="N436" s="2"/>
      <c r="O436" s="673"/>
      <c r="P436" s="673"/>
      <c r="Q436" s="673"/>
      <c r="R436" s="673"/>
      <c r="S436" s="673"/>
    </row>
    <row r="437" spans="1:19" s="3" customFormat="1" ht="41.25">
      <c r="A437" s="150"/>
      <c r="B437" s="683" t="s">
        <v>344</v>
      </c>
      <c r="C437" s="680"/>
      <c r="D437" s="743"/>
      <c r="E437" s="678"/>
      <c r="F437" s="849"/>
      <c r="G437" s="744"/>
      <c r="H437" s="673"/>
      <c r="I437" s="2"/>
      <c r="J437" s="2"/>
      <c r="K437" s="2"/>
      <c r="L437" s="673"/>
      <c r="M437" s="673"/>
      <c r="N437" s="2"/>
      <c r="O437" s="673"/>
      <c r="P437" s="673"/>
      <c r="Q437" s="673"/>
      <c r="R437" s="673"/>
      <c r="S437" s="673"/>
    </row>
    <row r="438" spans="1:19" s="3" customFormat="1" ht="27.75">
      <c r="A438" s="156"/>
      <c r="B438" s="683" t="s">
        <v>345</v>
      </c>
      <c r="C438" s="169"/>
      <c r="D438" s="752"/>
      <c r="E438" s="678"/>
      <c r="F438" s="849"/>
      <c r="G438" s="738"/>
      <c r="H438" s="673"/>
      <c r="I438" s="2"/>
      <c r="J438" s="2"/>
      <c r="K438" s="2"/>
      <c r="L438" s="673"/>
      <c r="M438" s="673"/>
      <c r="N438" s="2"/>
      <c r="O438" s="673"/>
      <c r="P438" s="673"/>
      <c r="Q438" s="673"/>
      <c r="R438" s="673"/>
      <c r="S438" s="673"/>
    </row>
    <row r="439" spans="1:19" s="3" customFormat="1" ht="27.75">
      <c r="A439" s="156"/>
      <c r="B439" s="683" t="s">
        <v>346</v>
      </c>
      <c r="C439" s="154"/>
      <c r="D439" s="743"/>
      <c r="E439" s="678"/>
      <c r="F439" s="849"/>
      <c r="G439" s="738"/>
      <c r="H439" s="673"/>
      <c r="I439" s="2"/>
      <c r="J439" s="2"/>
      <c r="K439" s="2"/>
      <c r="L439" s="2"/>
      <c r="M439"/>
      <c r="N439" s="9"/>
      <c r="O439" s="673"/>
      <c r="P439" s="673"/>
      <c r="Q439" s="673"/>
      <c r="R439" s="673"/>
      <c r="S439" s="673"/>
    </row>
    <row r="440" spans="1:19" s="2" customFormat="1" ht="27.75">
      <c r="A440" s="182"/>
      <c r="B440" s="683" t="s">
        <v>347</v>
      </c>
      <c r="C440" s="178"/>
      <c r="D440" s="178"/>
      <c r="E440" s="179"/>
      <c r="F440" s="854"/>
      <c r="G440" s="183"/>
      <c r="L440"/>
      <c r="M440" s="9"/>
    </row>
    <row r="441" spans="1:19" s="2" customFormat="1" ht="41.25">
      <c r="A441" s="182"/>
      <c r="B441" s="668" t="s">
        <v>348</v>
      </c>
      <c r="C441" s="178"/>
      <c r="D441" s="178"/>
      <c r="E441" s="179"/>
      <c r="F441" s="854"/>
      <c r="G441" s="183"/>
      <c r="L441"/>
      <c r="M441" s="9"/>
    </row>
    <row r="442" spans="1:19" s="2" customFormat="1" ht="41.25">
      <c r="A442" s="182"/>
      <c r="B442" s="668" t="s">
        <v>349</v>
      </c>
      <c r="C442" s="178"/>
      <c r="D442" s="178"/>
      <c r="E442" s="179"/>
      <c r="F442" s="854"/>
      <c r="G442" s="183"/>
      <c r="L442"/>
      <c r="M442" s="9"/>
    </row>
    <row r="443" spans="1:19" s="2" customFormat="1">
      <c r="A443" s="182"/>
      <c r="B443" s="616"/>
      <c r="C443" s="178"/>
      <c r="D443" s="178"/>
      <c r="E443" s="179"/>
      <c r="F443" s="854"/>
      <c r="G443" s="183"/>
      <c r="L443"/>
      <c r="M443" s="9"/>
    </row>
    <row r="444" spans="1:19" s="2" customFormat="1">
      <c r="A444" s="150" t="s">
        <v>68</v>
      </c>
      <c r="B444" s="155" t="s">
        <v>270</v>
      </c>
      <c r="C444" s="680"/>
      <c r="D444" s="743"/>
      <c r="E444" s="678"/>
      <c r="F444" s="849"/>
      <c r="G444" s="744"/>
      <c r="H444" s="691"/>
      <c r="I444" s="692"/>
      <c r="J444" s="621"/>
      <c r="K444" s="621"/>
      <c r="L444" s="619"/>
      <c r="M444" s="622"/>
      <c r="R444"/>
      <c r="S444" s="9"/>
    </row>
    <row r="445" spans="1:19" s="2" customFormat="1">
      <c r="A445" s="150"/>
      <c r="B445" s="673"/>
      <c r="C445" s="680"/>
      <c r="D445" s="743"/>
      <c r="E445" s="678"/>
      <c r="F445" s="849"/>
      <c r="G445" s="744"/>
      <c r="H445" s="691"/>
      <c r="I445" s="693"/>
      <c r="J445" s="621"/>
      <c r="K445" s="694"/>
      <c r="L445" s="622"/>
      <c r="M445" s="622"/>
    </row>
    <row r="446" spans="1:19" s="2" customFormat="1" ht="13.5">
      <c r="A446" s="156" t="s">
        <v>90</v>
      </c>
      <c r="B446" s="670" t="s">
        <v>350</v>
      </c>
      <c r="C446" s="169" t="s">
        <v>84</v>
      </c>
      <c r="D446" s="752">
        <v>90.45</v>
      </c>
      <c r="E446" s="678">
        <v>0</v>
      </c>
      <c r="F446" s="678">
        <v>0</v>
      </c>
      <c r="G446" s="738">
        <f>D446*E446+F446</f>
        <v>0</v>
      </c>
      <c r="H446" s="686"/>
      <c r="I446" s="687"/>
      <c r="J446" s="688"/>
      <c r="K446" s="689"/>
      <c r="L446" s="690"/>
      <c r="M446" s="620"/>
      <c r="S446" s="9"/>
    </row>
    <row r="447" spans="1:19" s="2" customFormat="1">
      <c r="A447" s="156"/>
      <c r="B447" s="670"/>
      <c r="C447" s="169"/>
      <c r="D447" s="752"/>
      <c r="E447" s="678"/>
      <c r="F447" s="849"/>
      <c r="G447" s="738"/>
      <c r="H447" s="686"/>
      <c r="I447" s="687"/>
      <c r="J447" s="688"/>
      <c r="K447" s="689"/>
      <c r="L447" s="690"/>
      <c r="M447" s="620"/>
      <c r="S447" s="9"/>
    </row>
    <row r="448" spans="1:19" s="2" customFormat="1">
      <c r="A448" s="150" t="s">
        <v>70</v>
      </c>
      <c r="B448" s="155" t="s">
        <v>351</v>
      </c>
      <c r="C448" s="680"/>
      <c r="D448" s="743"/>
      <c r="E448" s="678"/>
      <c r="F448" s="849"/>
      <c r="G448" s="738"/>
      <c r="H448" s="691"/>
      <c r="I448" s="692"/>
      <c r="J448" s="621"/>
      <c r="K448" s="621"/>
      <c r="L448" s="619"/>
      <c r="M448" s="622"/>
      <c r="R448"/>
      <c r="S448" s="9"/>
    </row>
    <row r="449" spans="1:19" s="2" customFormat="1">
      <c r="A449" s="150"/>
      <c r="B449" s="673"/>
      <c r="C449" s="680"/>
      <c r="D449" s="743"/>
      <c r="E449" s="678"/>
      <c r="F449" s="849"/>
      <c r="G449" s="738"/>
      <c r="H449" s="691"/>
      <c r="I449" s="693"/>
      <c r="J449" s="621"/>
      <c r="K449" s="694"/>
      <c r="L449" s="622"/>
      <c r="M449" s="622"/>
    </row>
    <row r="450" spans="1:19" s="2" customFormat="1" ht="13.5">
      <c r="A450" s="156" t="s">
        <v>90</v>
      </c>
      <c r="B450" s="670" t="s">
        <v>352</v>
      </c>
      <c r="C450" s="169" t="s">
        <v>291</v>
      </c>
      <c r="D450" s="752">
        <v>1</v>
      </c>
      <c r="E450" s="678">
        <v>0</v>
      </c>
      <c r="F450" s="678">
        <v>0</v>
      </c>
      <c r="G450" s="738">
        <f t="shared" ref="G447:G450" si="2">D450*E450+F450</f>
        <v>0</v>
      </c>
      <c r="H450" s="686"/>
      <c r="I450" s="687"/>
      <c r="J450" s="688"/>
      <c r="K450" s="689"/>
      <c r="L450" s="690"/>
      <c r="M450" s="620"/>
      <c r="S450" s="9"/>
    </row>
    <row r="451" spans="1:19" s="2" customFormat="1">
      <c r="A451" s="184"/>
      <c r="B451" s="188"/>
      <c r="C451" s="185"/>
      <c r="D451" s="200"/>
      <c r="E451" s="186"/>
      <c r="F451" s="855"/>
      <c r="G451" s="187"/>
    </row>
    <row r="452" spans="1:19" s="2" customFormat="1">
      <c r="A452" s="912" t="s">
        <v>353</v>
      </c>
      <c r="B452" s="913"/>
      <c r="C452" s="193"/>
      <c r="D452" s="201"/>
      <c r="E452" s="194"/>
      <c r="F452" s="194"/>
      <c r="G452" s="448">
        <f>SUM(G446:G450)</f>
        <v>0</v>
      </c>
    </row>
    <row r="453" spans="1:19" s="2" customFormat="1">
      <c r="A453" s="904" t="s">
        <v>52</v>
      </c>
      <c r="B453" s="905"/>
      <c r="C453" s="138"/>
      <c r="D453" s="12"/>
      <c r="E453" s="14"/>
      <c r="F453" s="14"/>
      <c r="G453" s="449"/>
    </row>
    <row r="454" spans="1:19" s="2" customFormat="1">
      <c r="A454" s="171"/>
      <c r="B454" s="172"/>
      <c r="C454" s="173"/>
      <c r="D454" s="198"/>
      <c r="E454" s="174"/>
      <c r="F454" s="853"/>
      <c r="G454" s="175"/>
    </row>
    <row r="455" spans="1:19" s="2" customFormat="1">
      <c r="A455" s="176"/>
      <c r="B455" s="177" t="s">
        <v>13</v>
      </c>
      <c r="C455" s="178"/>
      <c r="D455" s="199"/>
      <c r="E455" s="179"/>
      <c r="F455" s="854"/>
      <c r="G455" s="180"/>
    </row>
    <row r="456" spans="1:19" s="2" customFormat="1">
      <c r="A456" s="176"/>
      <c r="B456" s="181"/>
      <c r="C456" s="178"/>
      <c r="D456" s="199"/>
      <c r="E456" s="179"/>
      <c r="F456" s="854"/>
      <c r="G456" s="180"/>
    </row>
    <row r="457" spans="1:19" s="3" customFormat="1">
      <c r="A457" s="150">
        <v>4.0999999999999996</v>
      </c>
      <c r="B457" s="155" t="s">
        <v>270</v>
      </c>
      <c r="C457" s="680"/>
      <c r="D457" s="743"/>
      <c r="E457" s="678"/>
      <c r="F457" s="849"/>
      <c r="G457" s="744"/>
      <c r="H457" s="673"/>
      <c r="I457" s="2"/>
      <c r="J457" s="2"/>
      <c r="K457" s="2"/>
      <c r="L457" s="673"/>
      <c r="M457" s="673"/>
      <c r="N457" s="2"/>
      <c r="O457" s="673"/>
      <c r="P457" s="673"/>
      <c r="Q457" s="673"/>
      <c r="R457" s="673"/>
      <c r="S457" s="673"/>
    </row>
    <row r="458" spans="1:19" s="3" customFormat="1">
      <c r="A458" s="150" t="s">
        <v>354</v>
      </c>
      <c r="B458" s="155" t="s">
        <v>29</v>
      </c>
      <c r="C458" s="680"/>
      <c r="D458" s="743"/>
      <c r="E458" s="678"/>
      <c r="F458" s="849"/>
      <c r="G458" s="744"/>
      <c r="H458" s="673"/>
      <c r="I458" s="2"/>
      <c r="J458" s="2"/>
      <c r="K458" s="2"/>
      <c r="L458" s="673"/>
      <c r="M458" s="673"/>
      <c r="N458" s="2"/>
      <c r="O458" s="673"/>
      <c r="P458" s="673"/>
      <c r="Q458" s="673"/>
      <c r="R458" s="673"/>
      <c r="S458" s="673"/>
    </row>
    <row r="459" spans="1:19" s="3" customFormat="1" ht="41.25">
      <c r="A459" s="716"/>
      <c r="B459" s="718" t="s">
        <v>344</v>
      </c>
      <c r="C459" s="756"/>
      <c r="D459" s="747"/>
      <c r="E459" s="757"/>
      <c r="F459" s="852"/>
      <c r="G459" s="758"/>
      <c r="H459" s="673"/>
      <c r="I459" s="2"/>
      <c r="J459" s="2"/>
      <c r="K459" s="2"/>
      <c r="L459" s="673"/>
      <c r="M459" s="673"/>
      <c r="N459" s="2"/>
      <c r="O459" s="673"/>
      <c r="P459" s="673"/>
      <c r="Q459" s="673"/>
      <c r="R459" s="673"/>
      <c r="S459" s="673"/>
    </row>
    <row r="460" spans="1:19" s="3" customFormat="1" ht="27.75">
      <c r="A460" s="156"/>
      <c r="B460" s="683" t="s">
        <v>345</v>
      </c>
      <c r="C460" s="169"/>
      <c r="D460" s="752"/>
      <c r="E460" s="678"/>
      <c r="F460" s="849"/>
      <c r="G460" s="738"/>
      <c r="H460" s="673"/>
      <c r="I460" s="2"/>
      <c r="J460" s="2"/>
      <c r="K460" s="2"/>
      <c r="L460" s="673"/>
      <c r="M460" s="673"/>
      <c r="N460" s="2"/>
      <c r="O460" s="673"/>
      <c r="P460" s="673"/>
      <c r="Q460" s="673"/>
      <c r="R460" s="673"/>
      <c r="S460" s="673"/>
    </row>
    <row r="461" spans="1:19" s="3" customFormat="1" ht="27.75">
      <c r="A461" s="156"/>
      <c r="B461" s="683" t="s">
        <v>346</v>
      </c>
      <c r="C461" s="154"/>
      <c r="D461" s="743"/>
      <c r="E461" s="678"/>
      <c r="F461" s="849"/>
      <c r="G461" s="738"/>
      <c r="H461" s="673"/>
      <c r="I461" s="2"/>
      <c r="J461" s="2"/>
      <c r="K461" s="2"/>
      <c r="L461" s="2"/>
      <c r="M461"/>
      <c r="N461" s="9"/>
      <c r="O461" s="673"/>
      <c r="P461" s="673"/>
      <c r="Q461" s="673"/>
      <c r="R461" s="673"/>
      <c r="S461" s="673"/>
    </row>
    <row r="462" spans="1:19" s="2" customFormat="1" ht="27.75">
      <c r="A462" s="182"/>
      <c r="B462" s="683" t="s">
        <v>347</v>
      </c>
      <c r="C462" s="178"/>
      <c r="D462" s="178"/>
      <c r="E462" s="179"/>
      <c r="F462" s="854"/>
      <c r="G462" s="183"/>
      <c r="L462"/>
      <c r="M462" s="9"/>
    </row>
    <row r="463" spans="1:19" s="2" customFormat="1" ht="41.25">
      <c r="A463" s="182"/>
      <c r="B463" s="668" t="s">
        <v>348</v>
      </c>
      <c r="C463" s="178"/>
      <c r="D463" s="178"/>
      <c r="E463" s="179"/>
      <c r="F463" s="854"/>
      <c r="G463" s="183"/>
      <c r="L463"/>
      <c r="M463" s="9"/>
    </row>
    <row r="464" spans="1:19" s="2" customFormat="1" ht="41.25">
      <c r="A464" s="182"/>
      <c r="B464" s="668" t="s">
        <v>4</v>
      </c>
      <c r="C464" s="178"/>
      <c r="D464" s="178"/>
      <c r="E464" s="179"/>
      <c r="F464" s="854"/>
      <c r="G464" s="183"/>
      <c r="L464"/>
      <c r="M464" s="9"/>
    </row>
    <row r="465" spans="1:19" s="2" customFormat="1">
      <c r="A465" s="182"/>
      <c r="B465" s="616"/>
      <c r="C465" s="178"/>
      <c r="D465" s="178"/>
      <c r="E465" s="179"/>
      <c r="F465" s="854"/>
      <c r="G465" s="183"/>
      <c r="L465"/>
      <c r="M465" s="9"/>
    </row>
    <row r="466" spans="1:19" s="2" customFormat="1">
      <c r="A466" s="150" t="s">
        <v>355</v>
      </c>
      <c r="B466" s="155" t="s">
        <v>270</v>
      </c>
      <c r="C466" s="680"/>
      <c r="D466" s="743"/>
      <c r="E466" s="678"/>
      <c r="F466" s="849"/>
      <c r="G466" s="744"/>
      <c r="H466" s="691"/>
      <c r="I466" s="692"/>
      <c r="J466" s="621"/>
      <c r="K466" s="621"/>
      <c r="L466" s="619"/>
      <c r="M466" s="622"/>
      <c r="R466"/>
      <c r="S466" s="9"/>
    </row>
    <row r="467" spans="1:19" s="2" customFormat="1">
      <c r="A467" s="150"/>
      <c r="B467" s="673"/>
      <c r="C467" s="680"/>
      <c r="D467" s="743"/>
      <c r="E467" s="678"/>
      <c r="F467" s="849"/>
      <c r="G467" s="744"/>
      <c r="H467" s="691"/>
      <c r="I467" s="693"/>
      <c r="J467" s="621"/>
      <c r="K467" s="694"/>
      <c r="L467" s="622"/>
      <c r="M467" s="622"/>
    </row>
    <row r="468" spans="1:19" s="2" customFormat="1" ht="13.5">
      <c r="A468" s="156" t="s">
        <v>90</v>
      </c>
      <c r="B468" s="670" t="s">
        <v>350</v>
      </c>
      <c r="C468" s="169" t="s">
        <v>84</v>
      </c>
      <c r="D468" s="752">
        <v>145</v>
      </c>
      <c r="E468" s="678">
        <v>0</v>
      </c>
      <c r="F468" s="678">
        <v>0</v>
      </c>
      <c r="G468" s="738">
        <f>D468*E468+F468</f>
        <v>0</v>
      </c>
      <c r="H468" s="686"/>
      <c r="I468" s="687"/>
      <c r="J468" s="688"/>
      <c r="K468" s="689"/>
      <c r="L468" s="690"/>
      <c r="M468" s="620"/>
      <c r="S468" s="9"/>
    </row>
    <row r="469" spans="1:19" s="2" customFormat="1">
      <c r="A469" s="156"/>
      <c r="B469" s="670"/>
      <c r="C469" s="169"/>
      <c r="D469" s="752"/>
      <c r="E469" s="678"/>
      <c r="F469" s="849"/>
      <c r="G469" s="738"/>
      <c r="H469" s="686"/>
      <c r="I469" s="687"/>
      <c r="J469" s="688"/>
      <c r="K469" s="689"/>
      <c r="L469" s="690"/>
      <c r="M469" s="620"/>
      <c r="S469" s="9"/>
    </row>
    <row r="470" spans="1:19" ht="8.25" customHeight="1">
      <c r="A470" s="593"/>
      <c r="B470" s="189"/>
      <c r="C470" s="647"/>
      <c r="D470" s="750"/>
      <c r="E470" s="759"/>
      <c r="F470" s="856"/>
      <c r="G470" s="749"/>
      <c r="H470" s="2"/>
      <c r="I470" s="2"/>
      <c r="J470" s="2"/>
      <c r="K470" s="2"/>
      <c r="L470" s="2"/>
      <c r="M470" s="2"/>
      <c r="N470" s="2"/>
      <c r="O470" s="2"/>
      <c r="P470" s="2"/>
      <c r="Q470" s="2"/>
      <c r="R470" s="2"/>
      <c r="S470" s="2"/>
    </row>
    <row r="471" spans="1:19">
      <c r="A471" s="900" t="s">
        <v>356</v>
      </c>
      <c r="B471" s="901"/>
      <c r="C471" s="901"/>
      <c r="D471" s="901"/>
      <c r="E471" s="914"/>
      <c r="F471" s="839"/>
      <c r="G471" s="444">
        <f>G468</f>
        <v>0</v>
      </c>
      <c r="H471" s="2"/>
      <c r="I471" s="2"/>
      <c r="J471" s="2"/>
      <c r="K471" s="2"/>
      <c r="L471" s="2"/>
      <c r="M471" s="2"/>
      <c r="N471" s="2"/>
      <c r="O471" s="2"/>
      <c r="P471" s="2"/>
      <c r="Q471" s="2"/>
      <c r="R471" s="2"/>
      <c r="S471" s="2"/>
    </row>
    <row r="472" spans="1:19">
      <c r="A472" s="904" t="s">
        <v>52</v>
      </c>
      <c r="B472" s="905"/>
      <c r="C472" s="905"/>
      <c r="D472" s="905"/>
      <c r="E472" s="915"/>
      <c r="F472" s="840"/>
      <c r="G472" s="445"/>
      <c r="H472" s="2"/>
      <c r="I472" s="2"/>
      <c r="J472" s="2"/>
      <c r="K472" s="2"/>
      <c r="L472" s="2"/>
      <c r="M472" s="2"/>
      <c r="N472" s="2"/>
      <c r="O472" s="2"/>
      <c r="P472" s="2"/>
      <c r="Q472" s="2"/>
      <c r="R472" s="2"/>
      <c r="S472" s="2"/>
    </row>
    <row r="473" spans="1:19">
      <c r="A473" s="139"/>
      <c r="B473" s="140"/>
      <c r="C473" s="140"/>
      <c r="D473" s="140"/>
      <c r="E473" s="141"/>
      <c r="F473" s="848"/>
      <c r="G473" s="142"/>
      <c r="H473" s="2"/>
      <c r="I473" s="2"/>
      <c r="J473" s="2"/>
      <c r="K473" s="2"/>
      <c r="L473" s="2"/>
      <c r="M473" s="2"/>
      <c r="N473" s="2"/>
      <c r="O473" s="2"/>
      <c r="P473" s="2"/>
      <c r="Q473" s="2"/>
      <c r="R473" s="2"/>
      <c r="S473" s="2"/>
    </row>
    <row r="474" spans="1:19" s="2" customFormat="1">
      <c r="A474" s="696"/>
      <c r="B474" s="697"/>
      <c r="C474" s="698"/>
      <c r="D474" s="199"/>
      <c r="E474" s="699"/>
      <c r="F474" s="857"/>
      <c r="G474" s="719"/>
    </row>
    <row r="475" spans="1:19" s="2" customFormat="1">
      <c r="A475" s="176"/>
      <c r="B475" s="177" t="s">
        <v>357</v>
      </c>
      <c r="C475" s="178"/>
      <c r="D475" s="199"/>
      <c r="E475" s="179"/>
      <c r="F475" s="854"/>
      <c r="G475" s="180"/>
    </row>
    <row r="476" spans="1:19" s="2" customFormat="1">
      <c r="A476" s="176"/>
      <c r="B476" s="181"/>
      <c r="C476" s="178"/>
      <c r="D476" s="199"/>
      <c r="E476" s="179"/>
      <c r="F476" s="854"/>
      <c r="G476" s="180"/>
    </row>
    <row r="477" spans="1:19" s="3" customFormat="1">
      <c r="A477" s="150">
        <v>5.0999999999999996</v>
      </c>
      <c r="B477" s="155" t="s">
        <v>270</v>
      </c>
      <c r="C477" s="680"/>
      <c r="D477" s="743"/>
      <c r="E477" s="678"/>
      <c r="F477" s="849"/>
      <c r="G477" s="744"/>
      <c r="H477" s="673"/>
      <c r="I477" s="2"/>
      <c r="J477" s="2"/>
      <c r="K477" s="2"/>
      <c r="L477" s="673"/>
      <c r="M477" s="673"/>
      <c r="N477" s="2"/>
      <c r="O477" s="673"/>
      <c r="P477" s="673"/>
      <c r="Q477" s="673"/>
      <c r="R477" s="673"/>
      <c r="S477" s="673"/>
    </row>
    <row r="478" spans="1:19" s="3" customFormat="1">
      <c r="A478" s="150" t="s">
        <v>358</v>
      </c>
      <c r="B478" s="155" t="s">
        <v>29</v>
      </c>
      <c r="C478" s="680"/>
      <c r="D478" s="743"/>
      <c r="E478" s="678"/>
      <c r="F478" s="849"/>
      <c r="G478" s="744"/>
      <c r="H478" s="673"/>
      <c r="I478" s="2"/>
      <c r="J478" s="2"/>
      <c r="K478" s="2"/>
      <c r="L478" s="673"/>
      <c r="M478" s="673"/>
      <c r="N478" s="2"/>
      <c r="O478" s="673"/>
      <c r="P478" s="673"/>
      <c r="Q478" s="673"/>
      <c r="R478" s="673"/>
      <c r="S478" s="673"/>
    </row>
    <row r="479" spans="1:19" s="3" customFormat="1" ht="41.25">
      <c r="A479" s="150"/>
      <c r="B479" s="683" t="s">
        <v>344</v>
      </c>
      <c r="C479" s="680"/>
      <c r="D479" s="743"/>
      <c r="E479" s="678"/>
      <c r="F479" s="849"/>
      <c r="G479" s="744"/>
      <c r="H479" s="673"/>
      <c r="I479" s="2"/>
      <c r="J479" s="2"/>
      <c r="K479" s="2"/>
      <c r="L479" s="673"/>
      <c r="M479" s="673"/>
      <c r="N479" s="2"/>
      <c r="O479" s="673"/>
      <c r="P479" s="673"/>
      <c r="Q479" s="673"/>
      <c r="R479" s="673"/>
      <c r="S479" s="673"/>
    </row>
    <row r="480" spans="1:19" s="3" customFormat="1" ht="27.75">
      <c r="A480" s="156"/>
      <c r="B480" s="683" t="s">
        <v>345</v>
      </c>
      <c r="C480" s="169"/>
      <c r="D480" s="752"/>
      <c r="E480" s="678"/>
      <c r="F480" s="849"/>
      <c r="G480" s="738"/>
      <c r="H480" s="673"/>
      <c r="I480" s="2"/>
      <c r="J480" s="2"/>
      <c r="K480" s="2"/>
      <c r="L480" s="673"/>
      <c r="M480" s="673"/>
      <c r="N480" s="2"/>
      <c r="O480" s="673"/>
      <c r="P480" s="673"/>
      <c r="Q480" s="673"/>
      <c r="R480" s="673"/>
      <c r="S480" s="673"/>
    </row>
    <row r="481" spans="1:19" s="3" customFormat="1" ht="27.75">
      <c r="A481" s="156"/>
      <c r="B481" s="683" t="s">
        <v>346</v>
      </c>
      <c r="C481" s="154"/>
      <c r="D481" s="743"/>
      <c r="E481" s="678"/>
      <c r="F481" s="849"/>
      <c r="G481" s="738"/>
      <c r="H481" s="673"/>
      <c r="I481" s="2"/>
      <c r="J481" s="2"/>
      <c r="K481" s="2"/>
      <c r="L481" s="2"/>
      <c r="M481"/>
      <c r="N481" s="9"/>
      <c r="O481" s="673"/>
      <c r="P481" s="673"/>
      <c r="Q481" s="673"/>
      <c r="R481" s="673"/>
      <c r="S481" s="673"/>
    </row>
    <row r="482" spans="1:19" s="2" customFormat="1" ht="27.75">
      <c r="A482" s="182"/>
      <c r="B482" s="683" t="s">
        <v>347</v>
      </c>
      <c r="C482" s="178"/>
      <c r="D482" s="178"/>
      <c r="E482" s="179"/>
      <c r="F482" s="854"/>
      <c r="G482" s="183"/>
      <c r="L482"/>
      <c r="M482" s="9"/>
    </row>
    <row r="483" spans="1:19" s="2" customFormat="1" ht="41.25">
      <c r="A483" s="182"/>
      <c r="B483" s="668" t="s">
        <v>348</v>
      </c>
      <c r="C483" s="178"/>
      <c r="D483" s="178"/>
      <c r="E483" s="179"/>
      <c r="F483" s="854"/>
      <c r="G483" s="183"/>
      <c r="L483"/>
      <c r="M483" s="9"/>
    </row>
    <row r="484" spans="1:19" s="2" customFormat="1" ht="41.25">
      <c r="A484" s="182"/>
      <c r="B484" s="668" t="s">
        <v>349</v>
      </c>
      <c r="C484" s="178"/>
      <c r="D484" s="178"/>
      <c r="E484" s="179"/>
      <c r="F484" s="854"/>
      <c r="G484" s="183"/>
      <c r="L484"/>
      <c r="M484" s="9"/>
    </row>
    <row r="485" spans="1:19" s="2" customFormat="1">
      <c r="A485" s="182"/>
      <c r="B485" s="616"/>
      <c r="C485" s="178"/>
      <c r="D485" s="178"/>
      <c r="E485" s="179"/>
      <c r="F485" s="854"/>
      <c r="G485" s="183"/>
      <c r="L485"/>
      <c r="M485" s="9"/>
    </row>
    <row r="486" spans="1:19" s="2" customFormat="1">
      <c r="A486" s="150" t="s">
        <v>359</v>
      </c>
      <c r="B486" s="155" t="s">
        <v>270</v>
      </c>
      <c r="C486" s="680"/>
      <c r="D486" s="743"/>
      <c r="E486" s="678"/>
      <c r="F486" s="849"/>
      <c r="G486" s="744"/>
      <c r="H486" s="691"/>
      <c r="I486" s="692"/>
      <c r="J486" s="621"/>
      <c r="K486" s="621"/>
      <c r="L486" s="619"/>
      <c r="M486" s="622"/>
      <c r="R486"/>
      <c r="S486" s="9"/>
    </row>
    <row r="487" spans="1:19" s="2" customFormat="1">
      <c r="A487" s="150"/>
      <c r="B487" s="673"/>
      <c r="C487" s="680"/>
      <c r="D487" s="743"/>
      <c r="E487" s="678"/>
      <c r="F487" s="849"/>
      <c r="G487" s="744"/>
      <c r="H487" s="691"/>
      <c r="I487" s="693"/>
      <c r="J487" s="621"/>
      <c r="K487" s="694"/>
      <c r="L487" s="622"/>
      <c r="M487" s="622"/>
    </row>
    <row r="488" spans="1:19" s="2" customFormat="1" ht="13.5">
      <c r="A488" s="156" t="s">
        <v>90</v>
      </c>
      <c r="B488" s="670" t="s">
        <v>350</v>
      </c>
      <c r="C488" s="169" t="s">
        <v>84</v>
      </c>
      <c r="D488" s="752">
        <v>33.22</v>
      </c>
      <c r="E488" s="678">
        <v>0</v>
      </c>
      <c r="F488" s="678">
        <v>0</v>
      </c>
      <c r="G488" s="738">
        <f>D488*E488+F488</f>
        <v>0</v>
      </c>
      <c r="H488" s="686"/>
      <c r="I488" s="687"/>
      <c r="J488" s="688"/>
      <c r="K488" s="689"/>
      <c r="L488" s="690"/>
      <c r="M488" s="620"/>
      <c r="S488" s="9"/>
    </row>
    <row r="489" spans="1:19" s="2" customFormat="1">
      <c r="A489" s="156"/>
      <c r="B489" s="670"/>
      <c r="C489" s="169"/>
      <c r="D489" s="752"/>
      <c r="E489" s="678"/>
      <c r="F489" s="849"/>
      <c r="G489" s="738"/>
      <c r="H489" s="686"/>
      <c r="I489" s="687"/>
      <c r="J489" s="688"/>
      <c r="K489" s="689"/>
      <c r="L489" s="690"/>
      <c r="M489" s="620"/>
      <c r="S489" s="9"/>
    </row>
    <row r="490" spans="1:19" s="2" customFormat="1">
      <c r="A490" s="150" t="s">
        <v>360</v>
      </c>
      <c r="B490" s="155" t="s">
        <v>361</v>
      </c>
      <c r="C490" s="680"/>
      <c r="D490" s="743"/>
      <c r="E490" s="678"/>
      <c r="F490" s="849"/>
      <c r="G490" s="738"/>
      <c r="H490" s="691"/>
      <c r="I490" s="692"/>
      <c r="J490" s="621"/>
      <c r="K490" s="621"/>
      <c r="L490" s="619"/>
      <c r="M490" s="622"/>
      <c r="R490"/>
      <c r="S490" s="9"/>
    </row>
    <row r="491" spans="1:19" s="2" customFormat="1">
      <c r="A491" s="150"/>
      <c r="B491" s="673"/>
      <c r="C491" s="680"/>
      <c r="D491" s="743"/>
      <c r="E491" s="678"/>
      <c r="F491" s="849"/>
      <c r="G491" s="738"/>
      <c r="H491" s="691"/>
      <c r="I491" s="693"/>
      <c r="J491" s="621"/>
      <c r="K491" s="694"/>
      <c r="L491" s="622"/>
      <c r="M491" s="622"/>
    </row>
    <row r="492" spans="1:19" s="2" customFormat="1" ht="13.5">
      <c r="A492" s="156" t="s">
        <v>90</v>
      </c>
      <c r="B492" s="670" t="s">
        <v>362</v>
      </c>
      <c r="C492" s="169" t="s">
        <v>291</v>
      </c>
      <c r="D492" s="752">
        <v>1</v>
      </c>
      <c r="E492" s="678">
        <v>0</v>
      </c>
      <c r="F492" s="678">
        <v>0</v>
      </c>
      <c r="G492" s="738">
        <f t="shared" ref="G489:G492" si="3">D492*E492+F492</f>
        <v>0</v>
      </c>
      <c r="H492" s="686"/>
      <c r="I492" s="687"/>
      <c r="J492" s="688"/>
      <c r="K492" s="689"/>
      <c r="L492" s="690"/>
      <c r="M492" s="620"/>
      <c r="S492" s="9"/>
    </row>
    <row r="493" spans="1:19" s="2" customFormat="1">
      <c r="A493" s="150" t="s">
        <v>363</v>
      </c>
      <c r="B493" s="155" t="s">
        <v>270</v>
      </c>
      <c r="C493" s="169"/>
      <c r="D493" s="752"/>
      <c r="E493" s="678"/>
      <c r="F493" s="678"/>
      <c r="G493" s="738"/>
      <c r="H493" s="686"/>
      <c r="I493" s="687"/>
      <c r="J493" s="688"/>
      <c r="K493" s="689"/>
      <c r="L493" s="690"/>
      <c r="M493" s="620"/>
      <c r="S493" s="9"/>
    </row>
    <row r="494" spans="1:19" s="2" customFormat="1" ht="13.5">
      <c r="A494" s="156" t="s">
        <v>90</v>
      </c>
      <c r="B494" s="670" t="s">
        <v>364</v>
      </c>
      <c r="C494" s="169" t="s">
        <v>365</v>
      </c>
      <c r="D494" s="752">
        <v>1</v>
      </c>
      <c r="E494" s="678">
        <v>0</v>
      </c>
      <c r="F494" s="678">
        <v>0</v>
      </c>
      <c r="G494" s="738">
        <f t="shared" ref="G493:G494" si="4">D494*E494+F494</f>
        <v>0</v>
      </c>
      <c r="H494" s="686"/>
      <c r="I494" s="687"/>
      <c r="J494" s="688"/>
      <c r="K494" s="689"/>
      <c r="L494" s="690"/>
      <c r="M494" s="620"/>
      <c r="S494" s="9"/>
    </row>
    <row r="495" spans="1:19" ht="8.25" customHeight="1">
      <c r="A495" s="593"/>
      <c r="B495" s="189"/>
      <c r="C495" s="647"/>
      <c r="D495" s="750"/>
      <c r="E495" s="759"/>
      <c r="F495" s="856"/>
      <c r="G495" s="749"/>
      <c r="H495" s="2"/>
      <c r="I495" s="2"/>
      <c r="J495" s="2"/>
      <c r="K495" s="2"/>
      <c r="L495" s="2"/>
      <c r="M495" s="2"/>
      <c r="N495" s="2"/>
      <c r="O495" s="2"/>
      <c r="P495" s="2"/>
      <c r="Q495" s="2"/>
      <c r="R495" s="2"/>
      <c r="S495" s="2"/>
    </row>
    <row r="496" spans="1:19">
      <c r="A496" s="900" t="s">
        <v>366</v>
      </c>
      <c r="B496" s="901"/>
      <c r="C496" s="901"/>
      <c r="D496" s="901"/>
      <c r="E496" s="902"/>
      <c r="F496" s="837"/>
      <c r="G496" s="444">
        <f>SUM(G488:G492)</f>
        <v>0</v>
      </c>
      <c r="H496" s="2"/>
      <c r="I496" s="2"/>
      <c r="J496" s="2"/>
      <c r="K496" s="2"/>
      <c r="L496" s="2"/>
      <c r="M496" s="2"/>
      <c r="N496" s="2"/>
      <c r="O496" s="2"/>
      <c r="P496" s="2"/>
      <c r="Q496" s="2"/>
      <c r="R496" s="2"/>
      <c r="S496" s="2"/>
    </row>
    <row r="497" spans="1:19">
      <c r="A497" s="904" t="s">
        <v>52</v>
      </c>
      <c r="B497" s="905"/>
      <c r="C497" s="905"/>
      <c r="D497" s="905"/>
      <c r="E497" s="903"/>
      <c r="F497" s="838"/>
      <c r="G497" s="445"/>
      <c r="H497" s="2"/>
      <c r="I497" s="2"/>
      <c r="J497" s="2"/>
      <c r="K497" s="2"/>
      <c r="L497" s="2"/>
      <c r="M497" s="2"/>
      <c r="N497" s="2"/>
      <c r="O497" s="2"/>
      <c r="P497" s="2"/>
      <c r="Q497" s="2"/>
      <c r="R497" s="2"/>
      <c r="S497" s="2"/>
    </row>
    <row r="498" spans="1:19">
      <c r="A498" s="139"/>
      <c r="B498" s="140"/>
      <c r="C498" s="140"/>
      <c r="D498" s="140"/>
      <c r="E498" s="141"/>
      <c r="F498" s="848"/>
      <c r="G498" s="142"/>
      <c r="H498" s="2"/>
      <c r="I498" s="2"/>
      <c r="J498" s="2"/>
      <c r="K498" s="2"/>
      <c r="L498" s="2"/>
      <c r="M498" s="2"/>
      <c r="N498" s="2"/>
      <c r="O498" s="2"/>
      <c r="P498" s="2"/>
      <c r="Q498" s="2"/>
      <c r="R498" s="2"/>
      <c r="S498" s="2"/>
    </row>
    <row r="499" spans="1:19">
      <c r="A499" s="696"/>
      <c r="B499" s="697"/>
      <c r="C499" s="698"/>
      <c r="D499" s="199"/>
      <c r="E499" s="699"/>
      <c r="F499" s="857"/>
      <c r="G499" s="719"/>
      <c r="H499" s="2"/>
      <c r="I499" s="2"/>
      <c r="J499" s="2"/>
      <c r="K499" s="2"/>
      <c r="L499" s="2"/>
      <c r="M499" s="2"/>
      <c r="N499" s="2"/>
      <c r="O499" s="2"/>
      <c r="P499" s="2"/>
      <c r="Q499" s="2"/>
      <c r="R499" s="2"/>
      <c r="S499" s="2"/>
    </row>
    <row r="500" spans="1:19">
      <c r="A500" s="176"/>
      <c r="B500" s="177" t="s">
        <v>367</v>
      </c>
      <c r="C500" s="178"/>
      <c r="D500" s="199"/>
      <c r="E500" s="179"/>
      <c r="F500" s="854"/>
      <c r="G500" s="180"/>
      <c r="H500" s="2"/>
      <c r="I500" s="2"/>
      <c r="J500" s="2"/>
      <c r="K500" s="2"/>
      <c r="L500" s="2"/>
      <c r="M500" s="2"/>
      <c r="N500" s="2"/>
      <c r="O500" s="2"/>
      <c r="P500" s="2"/>
      <c r="Q500" s="2"/>
      <c r="R500" s="2"/>
      <c r="S500" s="2"/>
    </row>
    <row r="501" spans="1:19">
      <c r="A501" s="176"/>
      <c r="B501" s="181"/>
      <c r="C501" s="178"/>
      <c r="D501" s="199"/>
      <c r="E501" s="179"/>
      <c r="F501" s="854"/>
      <c r="G501" s="180"/>
      <c r="H501" s="2"/>
      <c r="I501" s="2"/>
      <c r="J501" s="2"/>
      <c r="K501" s="2"/>
      <c r="L501" s="2"/>
      <c r="M501" s="2"/>
      <c r="N501" s="2"/>
      <c r="O501" s="2"/>
      <c r="P501" s="2"/>
      <c r="Q501" s="2"/>
      <c r="R501" s="2"/>
      <c r="S501" s="2"/>
    </row>
    <row r="502" spans="1:19">
      <c r="A502" s="150">
        <v>6.1</v>
      </c>
      <c r="B502" s="155" t="s">
        <v>368</v>
      </c>
      <c r="C502" s="680"/>
      <c r="D502" s="743"/>
      <c r="E502" s="678"/>
      <c r="F502" s="849"/>
      <c r="G502" s="744"/>
      <c r="H502" s="2"/>
      <c r="I502" s="2"/>
      <c r="J502" s="2"/>
      <c r="K502" s="2"/>
      <c r="L502" s="2"/>
      <c r="M502" s="2"/>
      <c r="N502" s="2"/>
      <c r="O502" s="2"/>
      <c r="P502" s="2"/>
      <c r="Q502" s="2"/>
      <c r="R502" s="2"/>
      <c r="S502" s="2"/>
    </row>
    <row r="503" spans="1:19">
      <c r="A503" s="150" t="s">
        <v>369</v>
      </c>
      <c r="B503" s="155" t="s">
        <v>29</v>
      </c>
      <c r="C503" s="680"/>
      <c r="D503" s="743"/>
      <c r="E503" s="678"/>
      <c r="F503" s="849"/>
      <c r="G503" s="744"/>
      <c r="H503" s="2"/>
      <c r="I503" s="2"/>
      <c r="J503" s="2"/>
      <c r="K503" s="2"/>
      <c r="L503" s="2"/>
      <c r="M503" s="2"/>
      <c r="N503" s="2"/>
      <c r="O503" s="2"/>
      <c r="P503" s="2"/>
      <c r="Q503" s="2"/>
      <c r="R503" s="2"/>
      <c r="S503" s="2"/>
    </row>
    <row r="504" spans="1:19" ht="27.75">
      <c r="A504" s="150"/>
      <c r="B504" s="683" t="s">
        <v>370</v>
      </c>
      <c r="C504" s="680"/>
      <c r="D504" s="743"/>
      <c r="E504" s="678"/>
      <c r="F504" s="849"/>
      <c r="G504" s="744"/>
      <c r="H504" s="2"/>
      <c r="I504" s="2"/>
      <c r="J504" s="2"/>
      <c r="K504" s="2"/>
      <c r="L504" s="2"/>
      <c r="M504" s="2"/>
      <c r="N504" s="2"/>
      <c r="O504" s="2"/>
      <c r="P504" s="2"/>
      <c r="Q504" s="2"/>
      <c r="R504" s="2"/>
      <c r="S504" s="2"/>
    </row>
    <row r="505" spans="1:19">
      <c r="A505" s="182"/>
      <c r="B505" s="616"/>
      <c r="C505" s="178"/>
      <c r="D505" s="178"/>
      <c r="E505" s="179"/>
      <c r="F505" s="854"/>
      <c r="G505" s="183"/>
      <c r="H505" s="2"/>
      <c r="I505" s="2"/>
      <c r="J505" s="2"/>
      <c r="K505" s="2"/>
      <c r="L505" s="2"/>
      <c r="M505" s="2"/>
      <c r="N505" s="2"/>
      <c r="O505" s="2"/>
      <c r="P505" s="2"/>
      <c r="Q505" s="2"/>
      <c r="R505" s="2"/>
      <c r="S505" s="2"/>
    </row>
    <row r="506" spans="1:19">
      <c r="A506" s="150" t="s">
        <v>371</v>
      </c>
      <c r="B506" s="155" t="s">
        <v>372</v>
      </c>
      <c r="C506" s="680"/>
      <c r="D506" s="743"/>
      <c r="E506" s="678"/>
      <c r="F506" s="849"/>
      <c r="G506" s="744"/>
      <c r="H506" s="2"/>
      <c r="I506" s="2"/>
      <c r="J506" s="2"/>
      <c r="K506" s="2"/>
      <c r="L506" s="2"/>
      <c r="M506" s="2"/>
      <c r="N506" s="2"/>
      <c r="O506" s="2"/>
      <c r="P506" s="2"/>
      <c r="Q506" s="2"/>
      <c r="R506" s="2"/>
      <c r="S506" s="2"/>
    </row>
    <row r="507" spans="1:19">
      <c r="A507" s="150"/>
      <c r="B507" s="673"/>
      <c r="C507" s="680"/>
      <c r="D507" s="743"/>
      <c r="E507" s="678"/>
      <c r="F507" s="849"/>
      <c r="G507" s="744"/>
      <c r="H507" s="2"/>
      <c r="I507" s="2"/>
      <c r="J507" s="2"/>
      <c r="K507" s="2"/>
      <c r="L507" s="2"/>
      <c r="M507" s="2"/>
      <c r="N507" s="2"/>
      <c r="O507" s="2"/>
      <c r="P507" s="2"/>
      <c r="Q507" s="2"/>
      <c r="R507" s="2"/>
      <c r="S507" s="2"/>
    </row>
    <row r="508" spans="1:19" ht="13.5">
      <c r="A508" s="156" t="s">
        <v>90</v>
      </c>
      <c r="B508" s="670" t="s">
        <v>373</v>
      </c>
      <c r="C508" s="169" t="s">
        <v>291</v>
      </c>
      <c r="D508" s="752">
        <v>1</v>
      </c>
      <c r="E508" s="678">
        <v>0</v>
      </c>
      <c r="F508" s="678">
        <v>0</v>
      </c>
      <c r="G508" s="738">
        <f>D508*E508+F508</f>
        <v>0</v>
      </c>
      <c r="H508" s="2"/>
      <c r="I508" s="2"/>
      <c r="J508" s="2"/>
      <c r="K508" s="2"/>
      <c r="L508" s="2"/>
      <c r="M508" s="2"/>
      <c r="N508" s="2"/>
      <c r="O508" s="2"/>
      <c r="P508" s="2"/>
      <c r="Q508" s="2"/>
      <c r="R508" s="2"/>
      <c r="S508" s="2"/>
    </row>
    <row r="509" spans="1:19">
      <c r="A509" s="156"/>
      <c r="B509" s="670"/>
      <c r="C509" s="169"/>
      <c r="D509" s="752"/>
      <c r="E509" s="678"/>
      <c r="F509" s="849"/>
      <c r="G509" s="738"/>
      <c r="H509" s="2"/>
      <c r="I509" s="2"/>
      <c r="J509" s="2"/>
      <c r="K509" s="2"/>
      <c r="L509" s="2"/>
      <c r="M509" s="2"/>
      <c r="N509" s="2"/>
      <c r="O509" s="2"/>
      <c r="P509" s="2"/>
      <c r="Q509" s="2"/>
      <c r="R509" s="2"/>
      <c r="S509" s="2"/>
    </row>
    <row r="510" spans="1:19">
      <c r="A510" s="150" t="s">
        <v>374</v>
      </c>
      <c r="B510" s="155" t="s">
        <v>375</v>
      </c>
      <c r="C510" s="680"/>
      <c r="D510" s="743"/>
      <c r="E510" s="678"/>
      <c r="F510" s="849"/>
      <c r="G510" s="738"/>
      <c r="H510" s="2"/>
      <c r="I510" s="2"/>
      <c r="J510" s="2"/>
      <c r="K510" s="2"/>
      <c r="L510" s="2"/>
      <c r="M510" s="2"/>
      <c r="N510" s="2"/>
      <c r="O510" s="2"/>
      <c r="P510" s="2"/>
      <c r="Q510" s="2"/>
      <c r="R510" s="2"/>
      <c r="S510" s="2"/>
    </row>
    <row r="511" spans="1:19">
      <c r="A511" s="150"/>
      <c r="B511" s="673"/>
      <c r="C511" s="680"/>
      <c r="D511" s="743"/>
      <c r="E511" s="678"/>
      <c r="F511" s="849"/>
      <c r="G511" s="738"/>
      <c r="H511" s="2"/>
      <c r="I511" s="2"/>
      <c r="J511" s="2"/>
      <c r="K511" s="2"/>
      <c r="L511" s="2"/>
      <c r="M511" s="2"/>
      <c r="N511" s="2"/>
      <c r="O511" s="2"/>
      <c r="P511" s="2"/>
      <c r="Q511" s="2"/>
      <c r="R511" s="2"/>
      <c r="S511" s="2"/>
    </row>
    <row r="512" spans="1:19" ht="13.5">
      <c r="A512" s="156" t="s">
        <v>90</v>
      </c>
      <c r="B512" s="670" t="s">
        <v>373</v>
      </c>
      <c r="C512" s="169" t="s">
        <v>291</v>
      </c>
      <c r="D512" s="752">
        <v>1</v>
      </c>
      <c r="E512" s="678">
        <v>0</v>
      </c>
      <c r="F512" s="678">
        <v>0</v>
      </c>
      <c r="G512" s="738">
        <f t="shared" ref="G509:G516" si="5">D512*E512+F512</f>
        <v>0</v>
      </c>
      <c r="H512" s="2"/>
      <c r="I512" s="2"/>
      <c r="J512" s="2"/>
      <c r="K512" s="2"/>
      <c r="L512" s="2"/>
      <c r="M512" s="2"/>
      <c r="N512" s="2"/>
      <c r="O512" s="2"/>
      <c r="P512" s="2"/>
      <c r="Q512" s="2"/>
      <c r="R512" s="2"/>
      <c r="S512" s="2"/>
    </row>
    <row r="513" spans="1:19">
      <c r="A513" s="156"/>
      <c r="B513" s="670"/>
      <c r="C513" s="169"/>
      <c r="D513" s="752"/>
      <c r="E513" s="678"/>
      <c r="F513" s="849"/>
      <c r="G513" s="738"/>
      <c r="H513" s="2"/>
      <c r="I513" s="2"/>
      <c r="J513" s="2"/>
      <c r="K513" s="2"/>
      <c r="L513" s="2"/>
      <c r="M513" s="2"/>
      <c r="N513" s="2"/>
      <c r="O513" s="2"/>
      <c r="P513" s="2"/>
      <c r="Q513" s="2"/>
      <c r="R513" s="2"/>
      <c r="S513" s="2"/>
    </row>
    <row r="514" spans="1:19">
      <c r="A514" s="150" t="s">
        <v>376</v>
      </c>
      <c r="B514" s="155" t="s">
        <v>377</v>
      </c>
      <c r="C514" s="680"/>
      <c r="D514" s="743"/>
      <c r="E514" s="678"/>
      <c r="F514" s="849"/>
      <c r="G514" s="738"/>
      <c r="H514" s="2"/>
      <c r="I514" s="2"/>
      <c r="J514" s="2"/>
      <c r="K514" s="2"/>
      <c r="L514" s="2"/>
      <c r="M514" s="2"/>
      <c r="N514" s="2"/>
      <c r="O514" s="2"/>
      <c r="P514" s="2"/>
      <c r="Q514" s="2"/>
      <c r="R514" s="2"/>
      <c r="S514" s="2"/>
    </row>
    <row r="515" spans="1:19">
      <c r="A515" s="150"/>
      <c r="B515" s="673"/>
      <c r="C515" s="680"/>
      <c r="D515" s="743"/>
      <c r="E515" s="678"/>
      <c r="F515" s="849"/>
      <c r="G515" s="738"/>
      <c r="H515" s="2"/>
      <c r="I515" s="2"/>
      <c r="J515" s="2"/>
      <c r="K515" s="2"/>
      <c r="L515" s="2"/>
      <c r="M515" s="2"/>
      <c r="N515" s="2"/>
      <c r="O515" s="2"/>
      <c r="P515" s="2"/>
      <c r="Q515" s="2"/>
      <c r="R515" s="2"/>
      <c r="S515" s="2"/>
    </row>
    <row r="516" spans="1:19" ht="13.5">
      <c r="A516" s="156" t="s">
        <v>90</v>
      </c>
      <c r="B516" s="670" t="s">
        <v>373</v>
      </c>
      <c r="C516" s="169" t="s">
        <v>291</v>
      </c>
      <c r="D516" s="752">
        <v>1</v>
      </c>
      <c r="E516" s="678">
        <v>0</v>
      </c>
      <c r="F516" s="678">
        <v>0</v>
      </c>
      <c r="G516" s="738">
        <f t="shared" si="5"/>
        <v>0</v>
      </c>
      <c r="H516" s="2"/>
      <c r="I516" s="2"/>
      <c r="J516" s="2"/>
      <c r="K516" s="2"/>
      <c r="L516" s="2"/>
      <c r="M516" s="2"/>
      <c r="N516" s="2"/>
      <c r="O516" s="2"/>
      <c r="P516" s="2"/>
      <c r="Q516" s="2"/>
      <c r="R516" s="2"/>
      <c r="S516" s="2"/>
    </row>
    <row r="517" spans="1:19">
      <c r="A517" s="593"/>
      <c r="B517" s="189"/>
      <c r="C517" s="647"/>
      <c r="D517" s="750"/>
      <c r="E517" s="759"/>
      <c r="F517" s="856"/>
      <c r="G517" s="749"/>
      <c r="H517" s="2"/>
      <c r="I517" s="2"/>
      <c r="J517" s="2"/>
      <c r="K517" s="2"/>
      <c r="L517" s="2"/>
      <c r="M517" s="2"/>
      <c r="N517" s="2"/>
      <c r="O517" s="2"/>
      <c r="P517" s="2"/>
      <c r="Q517" s="2"/>
      <c r="R517" s="2"/>
      <c r="S517" s="2"/>
    </row>
    <row r="518" spans="1:19">
      <c r="A518" s="900" t="s">
        <v>366</v>
      </c>
      <c r="B518" s="901"/>
      <c r="C518" s="901"/>
      <c r="D518" s="901"/>
      <c r="E518" s="902"/>
      <c r="F518" s="837"/>
      <c r="G518" s="444">
        <f>SUM(G508:G516)</f>
        <v>0</v>
      </c>
      <c r="H518" s="2"/>
      <c r="I518" s="2"/>
      <c r="J518" s="2"/>
      <c r="K518" s="2"/>
      <c r="L518" s="2"/>
      <c r="M518" s="2"/>
      <c r="N518" s="2"/>
      <c r="O518" s="2"/>
      <c r="P518" s="2"/>
      <c r="Q518" s="2"/>
      <c r="R518" s="2"/>
      <c r="S518" s="2"/>
    </row>
    <row r="519" spans="1:19">
      <c r="A519" s="904" t="s">
        <v>52</v>
      </c>
      <c r="B519" s="905"/>
      <c r="C519" s="905"/>
      <c r="D519" s="905"/>
      <c r="E519" s="903"/>
      <c r="F519" s="838"/>
      <c r="G519" s="445"/>
      <c r="H519" s="2"/>
      <c r="I519" s="2"/>
      <c r="J519" s="2"/>
      <c r="K519" s="2"/>
      <c r="L519" s="2"/>
      <c r="M519" s="2"/>
      <c r="N519" s="2"/>
      <c r="O519" s="2"/>
      <c r="P519" s="2"/>
      <c r="Q519" s="2"/>
      <c r="R519" s="2"/>
      <c r="S519" s="2"/>
    </row>
    <row r="520" spans="1:19">
      <c r="A520" s="842"/>
      <c r="B520" s="687"/>
      <c r="C520" s="843"/>
      <c r="D520" s="844"/>
      <c r="E520" s="845"/>
      <c r="F520" s="845"/>
      <c r="G520" s="845"/>
      <c r="H520" s="2"/>
      <c r="I520" s="2"/>
      <c r="J520" s="2"/>
      <c r="K520" s="2"/>
      <c r="L520" s="2"/>
      <c r="M520" s="2"/>
      <c r="N520" s="2"/>
      <c r="O520" s="2"/>
      <c r="P520" s="2"/>
      <c r="Q520" s="2"/>
      <c r="R520" s="2"/>
      <c r="S520" s="2"/>
    </row>
    <row r="521" spans="1:19">
      <c r="A521" s="842"/>
      <c r="B521" s="687"/>
      <c r="C521" s="843"/>
      <c r="D521" s="844"/>
      <c r="E521" s="845"/>
      <c r="F521" s="845"/>
      <c r="G521" s="845"/>
      <c r="H521" s="2"/>
      <c r="I521" s="2"/>
      <c r="J521" s="2"/>
      <c r="K521" s="2"/>
      <c r="L521" s="2"/>
      <c r="M521" s="2"/>
      <c r="N521" s="2"/>
      <c r="O521" s="2"/>
      <c r="P521" s="2"/>
      <c r="Q521" s="2"/>
      <c r="R521" s="2"/>
      <c r="S521" s="2"/>
    </row>
    <row r="522" spans="1:19">
      <c r="A522" s="842"/>
      <c r="B522" s="687"/>
      <c r="C522" s="843"/>
      <c r="D522" s="844"/>
      <c r="E522" s="845"/>
      <c r="F522" s="845"/>
      <c r="G522" s="845"/>
      <c r="H522" s="2"/>
      <c r="I522" s="2"/>
      <c r="J522" s="2"/>
      <c r="K522" s="2"/>
      <c r="L522" s="2"/>
      <c r="M522" s="2"/>
      <c r="N522" s="2"/>
      <c r="O522" s="2"/>
      <c r="P522" s="2"/>
      <c r="Q522" s="2"/>
      <c r="R522" s="2"/>
      <c r="S522" s="2"/>
    </row>
    <row r="523" spans="1:19">
      <c r="A523" s="842"/>
      <c r="B523" s="687"/>
      <c r="C523" s="843"/>
      <c r="D523" s="844"/>
      <c r="E523" s="845"/>
      <c r="F523" s="845"/>
      <c r="G523" s="845"/>
      <c r="H523" s="2"/>
      <c r="I523" s="2"/>
      <c r="J523" s="2"/>
      <c r="K523" s="2"/>
      <c r="L523" s="2"/>
      <c r="M523" s="2"/>
      <c r="N523" s="2"/>
      <c r="O523" s="2"/>
      <c r="P523" s="2"/>
      <c r="Q523" s="2"/>
      <c r="R523" s="2"/>
      <c r="S523" s="2"/>
    </row>
    <row r="524" spans="1:19">
      <c r="A524" s="842"/>
      <c r="B524" s="687"/>
      <c r="C524" s="843"/>
      <c r="D524" s="844"/>
      <c r="E524" s="845"/>
      <c r="F524" s="845"/>
      <c r="G524" s="845"/>
      <c r="H524" s="2"/>
      <c r="I524" s="2"/>
      <c r="J524" s="2"/>
      <c r="K524" s="2"/>
      <c r="L524" s="2"/>
      <c r="M524" s="2"/>
      <c r="N524" s="2"/>
      <c r="O524" s="2"/>
      <c r="P524" s="2"/>
      <c r="Q524" s="2"/>
      <c r="R524" s="2"/>
      <c r="S524" s="2"/>
    </row>
    <row r="525" spans="1:19">
      <c r="A525" s="842"/>
      <c r="B525" s="687"/>
      <c r="C525" s="843"/>
      <c r="D525" s="844"/>
      <c r="E525" s="845"/>
      <c r="F525" s="845"/>
      <c r="G525" s="845"/>
      <c r="H525" s="2"/>
      <c r="I525" s="2"/>
      <c r="J525" s="2"/>
      <c r="K525" s="2"/>
      <c r="L525" s="2"/>
      <c r="M525" s="2"/>
      <c r="N525" s="2"/>
      <c r="O525" s="2"/>
      <c r="P525" s="2"/>
      <c r="Q525" s="2"/>
      <c r="R525" s="2"/>
      <c r="S525" s="2"/>
    </row>
    <row r="526" spans="1:19">
      <c r="A526" s="842"/>
      <c r="B526" s="687"/>
      <c r="C526" s="843"/>
      <c r="D526" s="844"/>
      <c r="E526" s="845"/>
      <c r="F526" s="845"/>
      <c r="G526" s="845"/>
      <c r="H526" s="2"/>
      <c r="I526" s="2"/>
      <c r="J526" s="2"/>
      <c r="K526" s="2"/>
      <c r="L526" s="2"/>
      <c r="M526" s="2"/>
      <c r="N526" s="2"/>
      <c r="O526" s="2"/>
      <c r="P526" s="2"/>
      <c r="Q526" s="2"/>
      <c r="R526" s="2"/>
      <c r="S526" s="2"/>
    </row>
    <row r="527" spans="1:19">
      <c r="A527" s="842"/>
      <c r="B527" s="687"/>
      <c r="C527" s="843"/>
      <c r="D527" s="844"/>
      <c r="E527" s="845"/>
      <c r="F527" s="845"/>
      <c r="G527" s="845"/>
      <c r="H527" s="2"/>
      <c r="I527" s="2"/>
      <c r="J527" s="2"/>
      <c r="K527" s="2"/>
      <c r="L527" s="2"/>
      <c r="M527" s="2"/>
      <c r="N527" s="2"/>
      <c r="O527" s="2"/>
      <c r="P527" s="2"/>
      <c r="Q527" s="2"/>
      <c r="R527" s="2"/>
      <c r="S527" s="2"/>
    </row>
    <row r="528" spans="1:19">
      <c r="A528" s="842"/>
      <c r="B528" s="687"/>
      <c r="C528" s="843"/>
      <c r="D528" s="844"/>
      <c r="E528" s="845"/>
      <c r="F528" s="845"/>
      <c r="G528" s="845"/>
      <c r="H528" s="2"/>
      <c r="I528" s="2"/>
      <c r="J528" s="2"/>
      <c r="K528" s="2"/>
      <c r="L528" s="2"/>
      <c r="M528" s="2"/>
      <c r="N528" s="2"/>
      <c r="O528" s="2"/>
      <c r="P528" s="2"/>
      <c r="Q528" s="2"/>
      <c r="R528" s="2"/>
      <c r="S528" s="2"/>
    </row>
  </sheetData>
  <mergeCells count="15">
    <mergeCell ref="A518:D518"/>
    <mergeCell ref="E518:E519"/>
    <mergeCell ref="A519:D519"/>
    <mergeCell ref="A26:D26"/>
    <mergeCell ref="E26:E27"/>
    <mergeCell ref="A27:D27"/>
    <mergeCell ref="A453:B453"/>
    <mergeCell ref="D318:E319"/>
    <mergeCell ref="A496:D496"/>
    <mergeCell ref="E496:E497"/>
    <mergeCell ref="A497:D497"/>
    <mergeCell ref="A452:B452"/>
    <mergeCell ref="A471:D471"/>
    <mergeCell ref="E471:E472"/>
    <mergeCell ref="A472:D472"/>
  </mergeCells>
  <phoneticPr fontId="52" type="noConversion"/>
  <printOptions horizontalCentered="1"/>
  <pageMargins left="0.25" right="0" top="0.75" bottom="0.75" header="0.5" footer="0.5"/>
  <pageSetup paperSize="9" scale="91" orientation="portrait" useFirstPageNumber="1" r:id="rId1"/>
  <headerFooter alignWithMargins="0">
    <oddHeader>&amp;L&amp;"Arial,Bold"&amp;9IGMH- PROPOSED OFFICE AND CEILING WORKS
&amp;R&amp;"Arial,Bold"&amp;9BILL OF QUANTITIES</oddHeader>
    <oddFooter>&amp;LFeburary 2025&amp;CPage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5C84B-8190-4E99-9A98-A5BF42F4556C}">
  <sheetPr>
    <tabColor rgb="FFFF0000"/>
  </sheetPr>
  <dimension ref="A1:Z859"/>
  <sheetViews>
    <sheetView topLeftCell="A212" zoomScale="96" zoomScaleNormal="96" workbookViewId="0">
      <selection activeCell="A33" sqref="A33:G33"/>
    </sheetView>
  </sheetViews>
  <sheetFormatPr defaultRowHeight="12.75"/>
  <cols>
    <col min="1" max="1" width="28.28515625" style="75" customWidth="1"/>
    <col min="2" max="2" width="9.140625" style="75"/>
    <col min="3" max="3" width="11.42578125" style="75" customWidth="1"/>
    <col min="4" max="4" width="11.5703125" style="75" customWidth="1"/>
    <col min="5" max="5" width="10.5703125" style="75" customWidth="1"/>
    <col min="6" max="6" width="10.42578125" style="75" customWidth="1"/>
    <col min="7" max="7" width="7.7109375" style="75" customWidth="1"/>
    <col min="8" max="8" width="20.28515625" style="75" customWidth="1"/>
    <col min="9" max="9" width="11.28515625" style="75" customWidth="1"/>
    <col min="10" max="10" width="10.5703125" style="75" customWidth="1"/>
    <col min="11" max="11" width="10.5703125" style="75" hidden="1" customWidth="1"/>
    <col min="12" max="12" width="11.28515625" style="75" customWidth="1"/>
    <col min="13" max="13" width="12.28515625" style="75" customWidth="1"/>
    <col min="14" max="14" width="9.85546875" style="75" customWidth="1"/>
    <col min="15" max="15" width="13" style="75" customWidth="1"/>
    <col min="16" max="16" width="10.7109375" style="75" customWidth="1"/>
    <col min="17" max="18" width="9.140625" style="75"/>
    <col min="19" max="19" width="11.28515625" style="75" customWidth="1"/>
    <col min="20" max="20" width="10.85546875" style="75" customWidth="1"/>
    <col min="21" max="16384" width="9.140625" style="75"/>
  </cols>
  <sheetData>
    <row r="1" spans="1:14" ht="15.75" thickBot="1">
      <c r="A1" s="597" t="s">
        <v>378</v>
      </c>
      <c r="B1" s="929" t="s">
        <v>379</v>
      </c>
      <c r="C1" s="930"/>
      <c r="D1" s="930"/>
      <c r="E1" s="930"/>
      <c r="F1" s="931"/>
    </row>
    <row r="3" spans="1:14" ht="13.5" thickBot="1"/>
    <row r="4" spans="1:14" ht="15.75" thickBot="1">
      <c r="A4" s="328" t="s">
        <v>380</v>
      </c>
      <c r="B4" s="469">
        <f>F13+F21</f>
        <v>30.660350000000001</v>
      </c>
      <c r="C4" s="95" t="s">
        <v>66</v>
      </c>
      <c r="I4" s="927" t="s">
        <v>381</v>
      </c>
      <c r="J4" s="928"/>
      <c r="K4" s="209"/>
      <c r="L4" s="469">
        <f>N13+N21</f>
        <v>61.707750000000004</v>
      </c>
      <c r="M4" s="95" t="s">
        <v>84</v>
      </c>
    </row>
    <row r="5" spans="1:14" ht="13.5" thickBot="1"/>
    <row r="6" spans="1:14" ht="13.5" thickBot="1">
      <c r="A6" s="329" t="s">
        <v>382</v>
      </c>
      <c r="B6" s="330" t="s">
        <v>291</v>
      </c>
      <c r="C6" s="331" t="s">
        <v>383</v>
      </c>
      <c r="D6" s="331" t="s">
        <v>384</v>
      </c>
      <c r="E6" s="331" t="s">
        <v>385</v>
      </c>
      <c r="F6" s="332" t="s">
        <v>386</v>
      </c>
      <c r="I6" s="333" t="s">
        <v>382</v>
      </c>
      <c r="J6" s="330" t="s">
        <v>291</v>
      </c>
      <c r="K6" s="330"/>
      <c r="L6" s="331" t="s">
        <v>383</v>
      </c>
      <c r="M6" s="330" t="s">
        <v>384</v>
      </c>
      <c r="N6" s="334" t="s">
        <v>387</v>
      </c>
    </row>
    <row r="7" spans="1:14">
      <c r="A7" s="82"/>
      <c r="B7" s="82"/>
      <c r="C7" s="82"/>
      <c r="D7" s="82"/>
      <c r="E7" s="82"/>
      <c r="F7" s="82"/>
      <c r="I7" s="82"/>
      <c r="J7" s="82"/>
      <c r="K7" s="82"/>
      <c r="L7" s="82"/>
      <c r="M7" s="82"/>
      <c r="N7" s="82"/>
    </row>
    <row r="8" spans="1:14" ht="15">
      <c r="A8" s="72" t="s">
        <v>388</v>
      </c>
      <c r="B8" s="78">
        <v>2</v>
      </c>
      <c r="C8" s="78">
        <f>2.1+0.05</f>
        <v>2.15</v>
      </c>
      <c r="D8" s="78">
        <f>2.1+0.05</f>
        <v>2.15</v>
      </c>
      <c r="E8" s="78">
        <v>0.35</v>
      </c>
      <c r="F8" s="79">
        <f>E8*D8*C8*B8</f>
        <v>3.2357499999999995</v>
      </c>
      <c r="G8" s="223" t="s">
        <v>389</v>
      </c>
      <c r="I8" s="72" t="str">
        <f t="shared" ref="I8:J8" si="0">A8</f>
        <v>F1</v>
      </c>
      <c r="J8" s="78">
        <f t="shared" si="0"/>
        <v>2</v>
      </c>
      <c r="K8" s="78"/>
      <c r="L8" s="78">
        <f t="shared" ref="L8:M10" si="1">C8</f>
        <v>2.15</v>
      </c>
      <c r="M8" s="78">
        <f t="shared" si="1"/>
        <v>2.15</v>
      </c>
      <c r="N8" s="79">
        <f>M8*L8*J8</f>
        <v>9.2449999999999992</v>
      </c>
    </row>
    <row r="9" spans="1:14" ht="15">
      <c r="A9" s="72" t="s">
        <v>390</v>
      </c>
      <c r="B9" s="78">
        <v>2</v>
      </c>
      <c r="C9" s="78">
        <f>1.85+0.05</f>
        <v>1.9000000000000001</v>
      </c>
      <c r="D9" s="78">
        <f>1.85+0.05</f>
        <v>1.9000000000000001</v>
      </c>
      <c r="E9" s="78">
        <v>0.3</v>
      </c>
      <c r="F9" s="79">
        <f t="shared" ref="F9:F11" si="2">E9*D9*C9*B9</f>
        <v>2.1660000000000004</v>
      </c>
      <c r="G9" s="223" t="s">
        <v>389</v>
      </c>
      <c r="I9" s="72" t="str">
        <f t="shared" ref="I9:I10" si="3">A9</f>
        <v>F2</v>
      </c>
      <c r="J9" s="78">
        <f t="shared" ref="J9:J10" si="4">B9</f>
        <v>2</v>
      </c>
      <c r="K9" s="78"/>
      <c r="L9" s="78">
        <f t="shared" si="1"/>
        <v>1.9000000000000001</v>
      </c>
      <c r="M9" s="78">
        <f t="shared" si="1"/>
        <v>1.9000000000000001</v>
      </c>
      <c r="N9" s="79">
        <f t="shared" ref="N9:N11" si="5">M9*L9*J9</f>
        <v>7.2200000000000006</v>
      </c>
    </row>
    <row r="10" spans="1:14" ht="15">
      <c r="A10" s="72" t="s">
        <v>391</v>
      </c>
      <c r="B10" s="78">
        <v>9</v>
      </c>
      <c r="C10" s="78">
        <f>1.7+0.05</f>
        <v>1.75</v>
      </c>
      <c r="D10" s="78">
        <f>1.7+0.05</f>
        <v>1.75</v>
      </c>
      <c r="E10" s="78">
        <v>0.3</v>
      </c>
      <c r="F10" s="79">
        <f t="shared" si="2"/>
        <v>8.2687500000000007</v>
      </c>
      <c r="G10" s="223" t="s">
        <v>389</v>
      </c>
      <c r="I10" s="72" t="str">
        <f t="shared" si="3"/>
        <v>F3</v>
      </c>
      <c r="J10" s="78">
        <f t="shared" si="4"/>
        <v>9</v>
      </c>
      <c r="K10" s="78"/>
      <c r="L10" s="78">
        <f t="shared" si="1"/>
        <v>1.75</v>
      </c>
      <c r="M10" s="78">
        <f t="shared" si="1"/>
        <v>1.75</v>
      </c>
      <c r="N10" s="79">
        <f t="shared" si="5"/>
        <v>27.5625</v>
      </c>
    </row>
    <row r="11" spans="1:14" ht="15">
      <c r="A11" s="72" t="s">
        <v>392</v>
      </c>
      <c r="B11" s="78">
        <v>3</v>
      </c>
      <c r="C11" s="78">
        <f>1.45+0.05</f>
        <v>1.5</v>
      </c>
      <c r="D11" s="78">
        <f>1.45+0.05</f>
        <v>1.5</v>
      </c>
      <c r="E11" s="78">
        <v>0.25</v>
      </c>
      <c r="F11" s="79">
        <f t="shared" si="2"/>
        <v>1.6875</v>
      </c>
      <c r="G11" s="223" t="s">
        <v>389</v>
      </c>
      <c r="I11" s="72" t="str">
        <f t="shared" ref="I11" si="6">A11</f>
        <v>F4</v>
      </c>
      <c r="J11" s="78">
        <f t="shared" ref="J11" si="7">B11</f>
        <v>3</v>
      </c>
      <c r="K11" s="78"/>
      <c r="L11" s="78">
        <f t="shared" ref="L11" si="8">C11</f>
        <v>1.5</v>
      </c>
      <c r="M11" s="78">
        <f t="shared" ref="M11" si="9">D11</f>
        <v>1.5</v>
      </c>
      <c r="N11" s="79">
        <f t="shared" si="5"/>
        <v>6.75</v>
      </c>
    </row>
    <row r="12" spans="1:14" ht="15.75" thickBot="1">
      <c r="A12" s="76"/>
      <c r="B12" s="80"/>
      <c r="C12" s="80"/>
      <c r="D12" s="80"/>
      <c r="E12" s="80"/>
      <c r="F12" s="81"/>
      <c r="I12" s="80"/>
      <c r="J12" s="80"/>
      <c r="K12" s="80"/>
      <c r="L12" s="80"/>
      <c r="M12" s="80"/>
      <c r="N12" s="80"/>
    </row>
    <row r="13" spans="1:14" ht="13.5" thickBot="1">
      <c r="A13" s="921" t="s">
        <v>393</v>
      </c>
      <c r="B13" s="922"/>
      <c r="C13" s="922"/>
      <c r="D13" s="922"/>
      <c r="E13" s="923"/>
      <c r="F13" s="111">
        <f>SUM(F7:F12)</f>
        <v>15.358000000000001</v>
      </c>
      <c r="I13" s="921" t="s">
        <v>393</v>
      </c>
      <c r="J13" s="924"/>
      <c r="K13" s="924"/>
      <c r="L13" s="924"/>
      <c r="M13" s="925"/>
      <c r="N13" s="111">
        <f>SUM(N7:N12)</f>
        <v>50.777500000000003</v>
      </c>
    </row>
    <row r="14" spans="1:14" ht="13.5" thickBot="1"/>
    <row r="15" spans="1:14" ht="13.5" thickBot="1">
      <c r="A15" s="329" t="s">
        <v>382</v>
      </c>
      <c r="B15" s="330" t="s">
        <v>291</v>
      </c>
      <c r="C15" s="331" t="s">
        <v>383</v>
      </c>
      <c r="D15" s="331" t="s">
        <v>384</v>
      </c>
      <c r="E15" s="331" t="s">
        <v>385</v>
      </c>
      <c r="F15" s="332" t="s">
        <v>386</v>
      </c>
      <c r="I15" s="333" t="s">
        <v>382</v>
      </c>
      <c r="J15" s="330" t="s">
        <v>291</v>
      </c>
      <c r="K15" s="330"/>
      <c r="L15" s="331" t="s">
        <v>383</v>
      </c>
      <c r="M15" s="330" t="s">
        <v>394</v>
      </c>
      <c r="N15" s="334" t="s">
        <v>387</v>
      </c>
    </row>
    <row r="16" spans="1:14">
      <c r="A16" s="82"/>
      <c r="B16" s="82"/>
      <c r="C16" s="82"/>
      <c r="D16" s="82"/>
      <c r="E16" s="82"/>
      <c r="F16" s="82"/>
      <c r="I16" s="82"/>
      <c r="J16" s="82"/>
      <c r="K16" s="82"/>
      <c r="L16" s="82"/>
      <c r="M16" s="82"/>
      <c r="N16" s="82"/>
    </row>
    <row r="17" spans="1:26" ht="15">
      <c r="A17" s="72" t="s">
        <v>395</v>
      </c>
      <c r="B17" s="78">
        <v>1</v>
      </c>
      <c r="C17" s="78">
        <f>N24</f>
        <v>6.8900000000000006</v>
      </c>
      <c r="D17" s="78">
        <v>0.25</v>
      </c>
      <c r="E17" s="78">
        <v>1.4</v>
      </c>
      <c r="F17" s="79">
        <f>E17*D17*C17*B17</f>
        <v>2.4115000000000002</v>
      </c>
      <c r="I17" s="72" t="str">
        <f t="shared" ref="I17:I19" si="10">A17</f>
        <v>TB1</v>
      </c>
      <c r="J17" s="78">
        <f t="shared" ref="J17:J19" si="11">B17</f>
        <v>1</v>
      </c>
      <c r="K17" s="78"/>
      <c r="L17" s="78">
        <f t="shared" ref="L17:M19" si="12">C17</f>
        <v>6.8900000000000006</v>
      </c>
      <c r="M17" s="78">
        <f t="shared" si="12"/>
        <v>0.25</v>
      </c>
      <c r="N17" s="79">
        <f t="shared" ref="N17:N19" si="13">M17*L17*J17</f>
        <v>1.7225000000000001</v>
      </c>
    </row>
    <row r="18" spans="1:26" ht="15">
      <c r="A18" s="72" t="s">
        <v>396</v>
      </c>
      <c r="B18" s="78">
        <v>1</v>
      </c>
      <c r="C18" s="78">
        <f>N25</f>
        <v>7.9280000000000008</v>
      </c>
      <c r="D18" s="78">
        <v>0.25</v>
      </c>
      <c r="E18" s="78">
        <v>1.4</v>
      </c>
      <c r="F18" s="79">
        <f>E18*D18*C18*B18</f>
        <v>2.7747999999999999</v>
      </c>
      <c r="I18" s="72" t="str">
        <f>A18</f>
        <v>TB2</v>
      </c>
      <c r="J18" s="78">
        <f>B18</f>
        <v>1</v>
      </c>
      <c r="K18" s="78"/>
      <c r="L18" s="78">
        <f t="shared" si="12"/>
        <v>7.9280000000000008</v>
      </c>
      <c r="M18" s="78">
        <f t="shared" si="12"/>
        <v>0.25</v>
      </c>
      <c r="N18" s="79">
        <f t="shared" si="13"/>
        <v>1.9820000000000002</v>
      </c>
    </row>
    <row r="19" spans="1:26" ht="15">
      <c r="A19" s="72" t="s">
        <v>397</v>
      </c>
      <c r="B19" s="78">
        <v>1</v>
      </c>
      <c r="C19" s="78">
        <f>N26</f>
        <v>28.902999999999999</v>
      </c>
      <c r="D19" s="78">
        <v>0.25</v>
      </c>
      <c r="E19" s="78">
        <v>1.4</v>
      </c>
      <c r="F19" s="79">
        <f>E19*D19*C19*B19</f>
        <v>10.11605</v>
      </c>
      <c r="I19" s="72" t="str">
        <f t="shared" si="10"/>
        <v>TB3</v>
      </c>
      <c r="J19" s="78">
        <f t="shared" si="11"/>
        <v>1</v>
      </c>
      <c r="K19" s="78"/>
      <c r="L19" s="78">
        <f t="shared" si="12"/>
        <v>28.902999999999999</v>
      </c>
      <c r="M19" s="78">
        <f t="shared" si="12"/>
        <v>0.25</v>
      </c>
      <c r="N19" s="79">
        <f t="shared" si="13"/>
        <v>7.2257499999999997</v>
      </c>
    </row>
    <row r="20" spans="1:26" ht="15.75" thickBot="1">
      <c r="A20" s="76"/>
      <c r="B20" s="80"/>
      <c r="C20" s="80"/>
      <c r="D20" s="80"/>
      <c r="E20" s="80"/>
      <c r="F20" s="81"/>
      <c r="I20" s="80"/>
      <c r="J20" s="80"/>
      <c r="K20" s="80"/>
      <c r="L20" s="80"/>
      <c r="M20" s="80"/>
      <c r="N20" s="80"/>
    </row>
    <row r="21" spans="1:26" ht="13.5" thickBot="1">
      <c r="A21" s="921" t="s">
        <v>393</v>
      </c>
      <c r="B21" s="922"/>
      <c r="C21" s="922"/>
      <c r="D21" s="922"/>
      <c r="E21" s="923"/>
      <c r="F21" s="111">
        <f>SUM(F16:F20)</f>
        <v>15.302350000000001</v>
      </c>
      <c r="I21" s="921" t="s">
        <v>393</v>
      </c>
      <c r="J21" s="924"/>
      <c r="K21" s="924"/>
      <c r="L21" s="924"/>
      <c r="M21" s="925"/>
      <c r="N21" s="111">
        <f>SUM(N16:N20)</f>
        <v>10.930250000000001</v>
      </c>
    </row>
    <row r="22" spans="1:26" ht="13.5" thickBot="1"/>
    <row r="23" spans="1:26">
      <c r="A23" s="336" t="s">
        <v>398</v>
      </c>
      <c r="B23" s="223"/>
    </row>
    <row r="24" spans="1:26">
      <c r="A24" s="648" t="str">
        <f>A17</f>
        <v>TB1</v>
      </c>
      <c r="B24" s="100">
        <f>2.305</f>
        <v>2.3050000000000002</v>
      </c>
      <c r="C24" s="100">
        <f>2.23</f>
        <v>2.23</v>
      </c>
      <c r="D24" s="100">
        <f>2.355</f>
        <v>2.355</v>
      </c>
      <c r="E24" s="100"/>
      <c r="F24" s="100"/>
      <c r="G24" s="100"/>
      <c r="H24" s="100"/>
      <c r="I24" s="100"/>
      <c r="J24" s="100"/>
      <c r="K24" s="100"/>
      <c r="L24" s="648"/>
      <c r="M24" s="100"/>
      <c r="N24" s="649">
        <f>SUM(B24:M24)</f>
        <v>6.8900000000000006</v>
      </c>
      <c r="V24" s="223"/>
      <c r="W24" s="223"/>
      <c r="Z24" s="101"/>
    </row>
    <row r="25" spans="1:26">
      <c r="A25" s="648" t="str">
        <f>A18</f>
        <v>TB2</v>
      </c>
      <c r="B25" s="100">
        <v>2.645</v>
      </c>
      <c r="C25" s="658" t="s">
        <v>399</v>
      </c>
      <c r="D25" s="100">
        <v>2.6779999999999999</v>
      </c>
      <c r="E25" s="100">
        <v>2.605</v>
      </c>
      <c r="F25" s="100"/>
      <c r="G25" s="100"/>
      <c r="H25" s="100"/>
      <c r="I25" s="100"/>
      <c r="J25" s="100"/>
      <c r="K25" s="100"/>
      <c r="L25" s="648"/>
      <c r="M25" s="100"/>
      <c r="N25" s="649">
        <f>SUM(B25:M25)</f>
        <v>7.9280000000000008</v>
      </c>
      <c r="V25" s="223"/>
      <c r="W25" s="223"/>
      <c r="Z25" s="101"/>
    </row>
    <row r="26" spans="1:26">
      <c r="A26" s="648" t="str">
        <f>A19</f>
        <v>TB3</v>
      </c>
      <c r="B26" s="100">
        <v>1.2</v>
      </c>
      <c r="C26" s="100">
        <v>3.22</v>
      </c>
      <c r="D26" s="100">
        <v>0.875</v>
      </c>
      <c r="E26" s="100">
        <v>3.02</v>
      </c>
      <c r="F26" s="100">
        <v>2.6779999999999999</v>
      </c>
      <c r="G26" s="100">
        <f>2*1.05</f>
        <v>2.1</v>
      </c>
      <c r="H26" s="100">
        <f>2*3.27</f>
        <v>6.54</v>
      </c>
      <c r="I26" s="100">
        <v>2.4340000000000002</v>
      </c>
      <c r="J26" s="100">
        <f>2.112*2</f>
        <v>4.2240000000000002</v>
      </c>
      <c r="K26" s="100"/>
      <c r="L26" s="648">
        <f>2.437+0.175</f>
        <v>2.6119999999999997</v>
      </c>
      <c r="M26" s="100"/>
      <c r="N26" s="649">
        <f>SUM(B26:M26)</f>
        <v>28.902999999999999</v>
      </c>
      <c r="V26" s="223"/>
      <c r="W26" s="223"/>
      <c r="Z26" s="101"/>
    </row>
    <row r="27" spans="1:26" ht="13.5" thickBot="1"/>
    <row r="28" spans="1:26" ht="15.75" thickBot="1">
      <c r="A28" s="328" t="s">
        <v>62</v>
      </c>
      <c r="B28" s="469">
        <f>F37+F45</f>
        <v>3.0853874999999999</v>
      </c>
      <c r="C28" s="95" t="s">
        <v>66</v>
      </c>
      <c r="I28" s="942"/>
      <c r="J28" s="942"/>
      <c r="K28" s="322"/>
      <c r="L28" s="102"/>
      <c r="M28" s="99"/>
    </row>
    <row r="29" spans="1:26" ht="13.5" thickBot="1"/>
    <row r="30" spans="1:26" ht="13.5" thickBot="1">
      <c r="A30" s="329" t="s">
        <v>382</v>
      </c>
      <c r="B30" s="330" t="s">
        <v>291</v>
      </c>
      <c r="C30" s="331" t="s">
        <v>383</v>
      </c>
      <c r="D30" s="331" t="s">
        <v>384</v>
      </c>
      <c r="E30" s="331" t="s">
        <v>385</v>
      </c>
      <c r="F30" s="332" t="s">
        <v>386</v>
      </c>
      <c r="I30" s="321"/>
      <c r="J30" s="321"/>
      <c r="K30" s="321"/>
      <c r="L30" s="105"/>
      <c r="M30" s="321"/>
      <c r="N30" s="321"/>
    </row>
    <row r="31" spans="1:26">
      <c r="A31" s="82"/>
      <c r="B31" s="82"/>
      <c r="C31" s="82"/>
      <c r="D31" s="82"/>
      <c r="E31" s="82"/>
      <c r="F31" s="82"/>
    </row>
    <row r="32" spans="1:26" ht="15">
      <c r="A32" s="72" t="str">
        <f t="shared" ref="A32:B35" si="14">A8</f>
        <v>F1</v>
      </c>
      <c r="B32" s="78">
        <f t="shared" si="14"/>
        <v>2</v>
      </c>
      <c r="C32" s="78">
        <f t="shared" ref="C32:D32" si="15">C8</f>
        <v>2.15</v>
      </c>
      <c r="D32" s="78">
        <f t="shared" si="15"/>
        <v>2.15</v>
      </c>
      <c r="E32" s="78">
        <v>0.05</v>
      </c>
      <c r="F32" s="79">
        <f>E32*D32*C32*B32</f>
        <v>0.46224999999999999</v>
      </c>
      <c r="I32" s="223"/>
      <c r="N32" s="102"/>
    </row>
    <row r="33" spans="1:26" ht="15">
      <c r="A33" s="72" t="str">
        <f t="shared" si="14"/>
        <v>F2</v>
      </c>
      <c r="B33" s="78">
        <f t="shared" si="14"/>
        <v>2</v>
      </c>
      <c r="C33" s="78">
        <f t="shared" ref="C33:D33" si="16">C9</f>
        <v>1.9000000000000001</v>
      </c>
      <c r="D33" s="78">
        <f t="shared" si="16"/>
        <v>1.9000000000000001</v>
      </c>
      <c r="E33" s="78">
        <v>0.05</v>
      </c>
      <c r="F33" s="79">
        <f t="shared" ref="F33:F35" si="17">E33*D33*C33*B33</f>
        <v>0.3610000000000001</v>
      </c>
      <c r="I33" s="223"/>
      <c r="N33" s="102"/>
    </row>
    <row r="34" spans="1:26" ht="15">
      <c r="A34" s="72" t="str">
        <f t="shared" si="14"/>
        <v>F3</v>
      </c>
      <c r="B34" s="78">
        <f t="shared" si="14"/>
        <v>9</v>
      </c>
      <c r="C34" s="78">
        <f t="shared" ref="C34:D34" si="18">C10</f>
        <v>1.75</v>
      </c>
      <c r="D34" s="78">
        <f t="shared" si="18"/>
        <v>1.75</v>
      </c>
      <c r="E34" s="78">
        <v>0.05</v>
      </c>
      <c r="F34" s="79">
        <f t="shared" si="17"/>
        <v>1.378125</v>
      </c>
      <c r="I34" s="223"/>
      <c r="N34" s="102"/>
    </row>
    <row r="35" spans="1:26" ht="15">
      <c r="A35" s="72" t="str">
        <f t="shared" si="14"/>
        <v>F4</v>
      </c>
      <c r="B35" s="78">
        <f t="shared" si="14"/>
        <v>3</v>
      </c>
      <c r="C35" s="78">
        <f t="shared" ref="C35:D35" si="19">C11</f>
        <v>1.5</v>
      </c>
      <c r="D35" s="78">
        <f t="shared" si="19"/>
        <v>1.5</v>
      </c>
      <c r="E35" s="78">
        <v>0.05</v>
      </c>
      <c r="F35" s="79">
        <f t="shared" si="17"/>
        <v>0.33750000000000002</v>
      </c>
      <c r="I35" s="223"/>
      <c r="N35" s="102"/>
    </row>
    <row r="36" spans="1:26" ht="15.75" thickBot="1">
      <c r="A36" s="76"/>
      <c r="B36" s="80"/>
      <c r="C36" s="80"/>
      <c r="D36" s="80"/>
      <c r="E36" s="80"/>
      <c r="F36" s="81"/>
    </row>
    <row r="37" spans="1:26" ht="13.5" thickBot="1">
      <c r="A37" s="921" t="s">
        <v>393</v>
      </c>
      <c r="B37" s="922"/>
      <c r="C37" s="922"/>
      <c r="D37" s="922"/>
      <c r="E37" s="923"/>
      <c r="F37" s="111">
        <f>SUM(F31:F36)</f>
        <v>2.538875</v>
      </c>
      <c r="I37" s="943"/>
      <c r="J37" s="943"/>
      <c r="K37" s="943"/>
      <c r="L37" s="943"/>
      <c r="M37" s="943"/>
      <c r="N37" s="101"/>
    </row>
    <row r="38" spans="1:26" ht="13.5" thickBot="1"/>
    <row r="39" spans="1:26" ht="13.5" thickBot="1">
      <c r="A39" s="329" t="s">
        <v>382</v>
      </c>
      <c r="B39" s="330" t="s">
        <v>291</v>
      </c>
      <c r="C39" s="331" t="s">
        <v>383</v>
      </c>
      <c r="D39" s="331" t="s">
        <v>384</v>
      </c>
      <c r="E39" s="331" t="s">
        <v>385</v>
      </c>
      <c r="F39" s="332" t="s">
        <v>386</v>
      </c>
      <c r="I39" s="321"/>
      <c r="J39" s="321"/>
      <c r="K39" s="321"/>
      <c r="L39" s="105"/>
      <c r="M39" s="321"/>
      <c r="N39" s="321"/>
    </row>
    <row r="40" spans="1:26">
      <c r="A40" s="82"/>
      <c r="B40" s="82"/>
      <c r="C40" s="82"/>
      <c r="D40" s="82"/>
      <c r="E40" s="82"/>
      <c r="F40" s="82"/>
    </row>
    <row r="41" spans="1:26" ht="15">
      <c r="A41" s="72" t="str">
        <f>A17</f>
        <v>TB1</v>
      </c>
      <c r="B41" s="78">
        <f>B17</f>
        <v>1</v>
      </c>
      <c r="C41" s="78">
        <f>C17</f>
        <v>6.8900000000000006</v>
      </c>
      <c r="D41" s="78">
        <f>D17</f>
        <v>0.25</v>
      </c>
      <c r="E41" s="78">
        <v>0.05</v>
      </c>
      <c r="F41" s="79">
        <f>E41*D41*C41*B41</f>
        <v>8.6125000000000007E-2</v>
      </c>
      <c r="I41" s="223"/>
      <c r="N41" s="102"/>
    </row>
    <row r="42" spans="1:26" ht="15">
      <c r="A42" s="72" t="s">
        <v>396</v>
      </c>
      <c r="B42" s="78">
        <v>1</v>
      </c>
      <c r="C42" s="78">
        <f>C18</f>
        <v>7.9280000000000008</v>
      </c>
      <c r="D42" s="78">
        <f>D18</f>
        <v>0.25</v>
      </c>
      <c r="E42" s="78">
        <v>0.05</v>
      </c>
      <c r="F42" s="79">
        <f>E42*D42*C42*B42</f>
        <v>9.9100000000000021E-2</v>
      </c>
      <c r="I42" s="223"/>
      <c r="N42" s="102"/>
    </row>
    <row r="43" spans="1:26" ht="15">
      <c r="A43" s="72" t="str">
        <f t="shared" ref="A43:D43" si="20">A19</f>
        <v>TB3</v>
      </c>
      <c r="B43" s="78">
        <f t="shared" si="20"/>
        <v>1</v>
      </c>
      <c r="C43" s="78">
        <f t="shared" si="20"/>
        <v>28.902999999999999</v>
      </c>
      <c r="D43" s="78">
        <f t="shared" si="20"/>
        <v>0.25</v>
      </c>
      <c r="E43" s="78">
        <v>0.05</v>
      </c>
      <c r="F43" s="79">
        <f>E43*D43*C43*B43</f>
        <v>0.36128749999999998</v>
      </c>
      <c r="I43" s="223"/>
      <c r="N43" s="102"/>
    </row>
    <row r="44" spans="1:26" ht="15.75" thickBot="1">
      <c r="A44" s="76"/>
      <c r="B44" s="80"/>
      <c r="C44" s="80"/>
      <c r="D44" s="80"/>
      <c r="E44" s="80"/>
      <c r="F44" s="81"/>
    </row>
    <row r="45" spans="1:26" ht="13.5" thickBot="1">
      <c r="A45" s="921" t="s">
        <v>393</v>
      </c>
      <c r="B45" s="922"/>
      <c r="C45" s="922"/>
      <c r="D45" s="922"/>
      <c r="E45" s="923"/>
      <c r="F45" s="111">
        <f>SUM(F40:F44)</f>
        <v>0.54651249999999996</v>
      </c>
      <c r="I45" s="943"/>
      <c r="J45" s="943"/>
      <c r="K45" s="943"/>
      <c r="L45" s="943"/>
      <c r="M45" s="943"/>
      <c r="N45" s="101"/>
    </row>
    <row r="46" spans="1:26" ht="13.5" thickBot="1"/>
    <row r="47" spans="1:26">
      <c r="A47" s="336" t="s">
        <v>398</v>
      </c>
      <c r="B47" s="223"/>
    </row>
    <row r="48" spans="1:26">
      <c r="A48" s="648" t="str">
        <f>A41</f>
        <v>TB1</v>
      </c>
      <c r="B48" s="100">
        <f>3.7*8</f>
        <v>29.6</v>
      </c>
      <c r="C48" s="100">
        <f>3.5*4</f>
        <v>14</v>
      </c>
      <c r="D48" s="100">
        <f>3.7*4</f>
        <v>14.8</v>
      </c>
      <c r="E48" s="100">
        <f>3.7*6</f>
        <v>22.200000000000003</v>
      </c>
      <c r="F48" s="100"/>
      <c r="G48" s="100"/>
      <c r="H48" s="100"/>
      <c r="I48" s="100"/>
      <c r="J48" s="100"/>
      <c r="K48" s="100"/>
      <c r="L48" s="648"/>
      <c r="M48" s="100"/>
      <c r="N48" s="649">
        <f>SUM(B48:M48)</f>
        <v>80.600000000000009</v>
      </c>
      <c r="V48" s="223"/>
      <c r="W48" s="223"/>
      <c r="Z48" s="101"/>
    </row>
    <row r="49" spans="1:26">
      <c r="A49" s="648" t="str">
        <f>A25</f>
        <v>TB2</v>
      </c>
      <c r="B49" s="100">
        <f>B25</f>
        <v>2.645</v>
      </c>
      <c r="C49" s="658" t="str">
        <f>C25</f>
        <v>2 270</v>
      </c>
      <c r="D49" s="100">
        <f>D25</f>
        <v>2.6779999999999999</v>
      </c>
      <c r="E49" s="100">
        <f>E25</f>
        <v>2.605</v>
      </c>
      <c r="F49" s="100"/>
      <c r="G49" s="100"/>
      <c r="H49" s="100"/>
      <c r="I49" s="100"/>
      <c r="J49" s="100"/>
      <c r="K49" s="100"/>
      <c r="L49" s="648"/>
      <c r="M49" s="100"/>
      <c r="N49" s="649">
        <f t="shared" ref="N49:N50" si="21">SUM(B49:M49)</f>
        <v>7.9280000000000008</v>
      </c>
      <c r="V49" s="223"/>
      <c r="W49" s="223"/>
      <c r="Z49" s="101"/>
    </row>
    <row r="50" spans="1:26">
      <c r="A50" s="648" t="str">
        <f>A43</f>
        <v>TB3</v>
      </c>
      <c r="B50" s="100">
        <f t="shared" ref="B50:J50" si="22">B26</f>
        <v>1.2</v>
      </c>
      <c r="C50" s="100">
        <f t="shared" si="22"/>
        <v>3.22</v>
      </c>
      <c r="D50" s="100">
        <f t="shared" si="22"/>
        <v>0.875</v>
      </c>
      <c r="E50" s="100">
        <f t="shared" si="22"/>
        <v>3.02</v>
      </c>
      <c r="F50" s="100">
        <f t="shared" si="22"/>
        <v>2.6779999999999999</v>
      </c>
      <c r="G50" s="100">
        <f t="shared" si="22"/>
        <v>2.1</v>
      </c>
      <c r="H50" s="100">
        <f t="shared" si="22"/>
        <v>6.54</v>
      </c>
      <c r="I50" s="100">
        <f t="shared" si="22"/>
        <v>2.4340000000000002</v>
      </c>
      <c r="J50" s="100">
        <f t="shared" si="22"/>
        <v>4.2240000000000002</v>
      </c>
      <c r="K50" s="100"/>
      <c r="L50" s="648">
        <f>L26</f>
        <v>2.6119999999999997</v>
      </c>
      <c r="M50" s="100"/>
      <c r="N50" s="649">
        <f t="shared" si="21"/>
        <v>28.902999999999999</v>
      </c>
      <c r="V50" s="223"/>
      <c r="W50" s="223"/>
      <c r="Z50" s="101"/>
    </row>
    <row r="51" spans="1:26" ht="13.5" thickBot="1"/>
    <row r="52" spans="1:26" ht="15.75" thickBot="1">
      <c r="A52" s="328" t="s">
        <v>400</v>
      </c>
      <c r="B52" s="97"/>
      <c r="C52" s="98"/>
      <c r="H52" s="919" t="s">
        <v>401</v>
      </c>
      <c r="I52" s="920"/>
      <c r="O52" s="919" t="s">
        <v>402</v>
      </c>
      <c r="P52" s="920"/>
      <c r="T52" s="919" t="s">
        <v>402</v>
      </c>
      <c r="U52" s="920"/>
    </row>
    <row r="53" spans="1:26" ht="15.75" thickBot="1">
      <c r="A53" s="328" t="s">
        <v>403</v>
      </c>
      <c r="B53" s="469">
        <f>F63</f>
        <v>14.520375</v>
      </c>
      <c r="C53" s="95" t="s">
        <v>66</v>
      </c>
      <c r="H53" s="328" t="str">
        <f>A53</f>
        <v>FOOTING</v>
      </c>
      <c r="I53" s="470">
        <f>M63</f>
        <v>33.03</v>
      </c>
      <c r="J53" s="118" t="s">
        <v>84</v>
      </c>
      <c r="K53" s="210"/>
      <c r="O53" s="328" t="str">
        <f>H53</f>
        <v>FOOTING</v>
      </c>
      <c r="P53" s="470">
        <f>R63</f>
        <v>47.982499999999995</v>
      </c>
      <c r="Q53" s="118" t="s">
        <v>84</v>
      </c>
      <c r="T53" s="328" t="str">
        <f>O53</f>
        <v>FOOTING</v>
      </c>
      <c r="U53" s="470">
        <f>W63</f>
        <v>33.03</v>
      </c>
      <c r="V53" s="118" t="s">
        <v>84</v>
      </c>
    </row>
    <row r="54" spans="1:26" ht="15.75" thickBot="1">
      <c r="A54" s="328" t="s">
        <v>404</v>
      </c>
      <c r="B54" s="469">
        <f>F70</f>
        <v>17.7881</v>
      </c>
      <c r="C54" s="95" t="s">
        <v>66</v>
      </c>
      <c r="H54" s="328" t="str">
        <f>A54</f>
        <v>TIE BEAM</v>
      </c>
      <c r="I54" s="470">
        <f>M70</f>
        <v>85.884800000000013</v>
      </c>
      <c r="J54" s="118" t="s">
        <v>84</v>
      </c>
      <c r="K54" s="210"/>
      <c r="O54" s="570" t="str">
        <f>H54</f>
        <v>TIE BEAM</v>
      </c>
      <c r="P54" s="571">
        <f>R70</f>
        <v>29.357750000000003</v>
      </c>
      <c r="Q54" s="572" t="s">
        <v>84</v>
      </c>
      <c r="T54" s="570" t="str">
        <f>O54</f>
        <v>TIE BEAM</v>
      </c>
      <c r="U54" s="571">
        <f>W70</f>
        <v>85.884800000000013</v>
      </c>
      <c r="V54" s="572" t="s">
        <v>84</v>
      </c>
    </row>
    <row r="55" spans="1:26" ht="13.5" thickBot="1">
      <c r="O55" s="916" t="s">
        <v>405</v>
      </c>
      <c r="P55" s="917"/>
      <c r="Q55" s="917"/>
      <c r="R55" s="918"/>
      <c r="T55" s="916" t="s">
        <v>406</v>
      </c>
      <c r="U55" s="917"/>
      <c r="V55" s="917"/>
      <c r="W55" s="918"/>
    </row>
    <row r="56" spans="1:26" ht="13.5" thickBot="1">
      <c r="A56" s="329" t="s">
        <v>382</v>
      </c>
      <c r="B56" s="330" t="s">
        <v>291</v>
      </c>
      <c r="C56" s="330" t="s">
        <v>383</v>
      </c>
      <c r="D56" s="331" t="s">
        <v>384</v>
      </c>
      <c r="E56" s="331" t="s">
        <v>385</v>
      </c>
      <c r="F56" s="332" t="s">
        <v>386</v>
      </c>
      <c r="H56" s="329" t="s">
        <v>382</v>
      </c>
      <c r="I56" s="330" t="s">
        <v>291</v>
      </c>
      <c r="J56" s="331" t="s">
        <v>383</v>
      </c>
      <c r="K56" s="330" t="s">
        <v>407</v>
      </c>
      <c r="L56" s="330" t="s">
        <v>385</v>
      </c>
      <c r="M56" s="334" t="s">
        <v>408</v>
      </c>
      <c r="O56" s="568" t="s">
        <v>382</v>
      </c>
      <c r="P56" s="569" t="s">
        <v>291</v>
      </c>
      <c r="Q56" s="569" t="s">
        <v>409</v>
      </c>
      <c r="R56" s="569" t="s">
        <v>387</v>
      </c>
      <c r="T56" s="329" t="s">
        <v>382</v>
      </c>
      <c r="U56" s="330" t="s">
        <v>410</v>
      </c>
      <c r="V56" s="330" t="s">
        <v>385</v>
      </c>
      <c r="W56" s="330" t="s">
        <v>387</v>
      </c>
    </row>
    <row r="57" spans="1:26">
      <c r="A57" s="82"/>
      <c r="B57" s="82"/>
      <c r="C57" s="82"/>
      <c r="D57" s="82"/>
      <c r="E57" s="82"/>
      <c r="F57" s="82"/>
      <c r="H57" s="82"/>
      <c r="I57" s="82"/>
      <c r="J57" s="82"/>
      <c r="K57" s="82"/>
      <c r="L57" s="82"/>
      <c r="M57" s="82"/>
      <c r="O57" s="82"/>
      <c r="P57" s="82"/>
      <c r="Q57" s="82"/>
      <c r="R57" s="82"/>
      <c r="T57" s="82"/>
      <c r="U57" s="82"/>
      <c r="V57" s="82"/>
      <c r="W57" s="82"/>
    </row>
    <row r="58" spans="1:26" ht="15">
      <c r="A58" s="72" t="str">
        <f t="shared" ref="A58:B61" si="23">A8</f>
        <v>F1</v>
      </c>
      <c r="B58" s="78">
        <f t="shared" si="23"/>
        <v>2</v>
      </c>
      <c r="C58" s="78">
        <v>2.1</v>
      </c>
      <c r="D58" s="78">
        <v>2.1</v>
      </c>
      <c r="E58" s="78">
        <v>0.35</v>
      </c>
      <c r="F58" s="79">
        <f>E58*D58*C58*B58</f>
        <v>3.0870000000000002</v>
      </c>
      <c r="H58" s="72" t="str">
        <f t="shared" ref="H58:I60" si="24">A58</f>
        <v>F1</v>
      </c>
      <c r="I58" s="78">
        <f t="shared" si="24"/>
        <v>2</v>
      </c>
      <c r="J58" s="78">
        <f>2*(C58+D58)</f>
        <v>8.4</v>
      </c>
      <c r="K58" s="78">
        <v>0.05</v>
      </c>
      <c r="L58" s="78">
        <f>E58</f>
        <v>0.35</v>
      </c>
      <c r="M58" s="79">
        <f>I58*J58*L58</f>
        <v>5.88</v>
      </c>
      <c r="O58" s="72" t="str">
        <f t="shared" ref="O58" si="25">H58</f>
        <v>F1</v>
      </c>
      <c r="P58" s="78">
        <f>I58</f>
        <v>2</v>
      </c>
      <c r="Q58" s="78">
        <f>C58*D58</f>
        <v>4.41</v>
      </c>
      <c r="R58" s="78">
        <f>Q58*P58</f>
        <v>8.82</v>
      </c>
      <c r="T58" s="72" t="str">
        <f>O58</f>
        <v>F1</v>
      </c>
      <c r="U58" s="78">
        <f>J58</f>
        <v>8.4</v>
      </c>
      <c r="V58" s="78">
        <f>L58</f>
        <v>0.35</v>
      </c>
      <c r="W58" s="78">
        <f>V58*U58*I58</f>
        <v>5.88</v>
      </c>
    </row>
    <row r="59" spans="1:26" ht="15">
      <c r="A59" s="72" t="str">
        <f t="shared" si="23"/>
        <v>F2</v>
      </c>
      <c r="B59" s="78">
        <f t="shared" si="23"/>
        <v>2</v>
      </c>
      <c r="C59" s="78">
        <v>1.85</v>
      </c>
      <c r="D59" s="78">
        <v>1.85</v>
      </c>
      <c r="E59" s="78">
        <v>0.3</v>
      </c>
      <c r="F59" s="79">
        <f t="shared" ref="F59:F61" si="26">E59*D59*C59*B59</f>
        <v>2.0535000000000001</v>
      </c>
      <c r="H59" s="72" t="str">
        <f t="shared" si="24"/>
        <v>F2</v>
      </c>
      <c r="I59" s="78">
        <f t="shared" si="24"/>
        <v>2</v>
      </c>
      <c r="J59" s="78">
        <f>2*(C59+D59)</f>
        <v>7.4</v>
      </c>
      <c r="K59" s="78"/>
      <c r="L59" s="78">
        <f t="shared" ref="L59:L60" si="27">E59</f>
        <v>0.3</v>
      </c>
      <c r="M59" s="79">
        <f t="shared" ref="M59:M61" si="28">I59*J59*L59</f>
        <v>4.4400000000000004</v>
      </c>
      <c r="O59" s="72" t="str">
        <f t="shared" ref="O59:O60" si="29">H59</f>
        <v>F2</v>
      </c>
      <c r="P59" s="78">
        <f>I59</f>
        <v>2</v>
      </c>
      <c r="Q59" s="78">
        <f t="shared" ref="Q59:Q60" si="30">C59*D59</f>
        <v>3.4225000000000003</v>
      </c>
      <c r="R59" s="78">
        <f t="shared" ref="R59:R60" si="31">Q59*P59</f>
        <v>6.8450000000000006</v>
      </c>
      <c r="T59" s="72" t="str">
        <f>O59</f>
        <v>F2</v>
      </c>
      <c r="U59" s="78">
        <f>J59</f>
        <v>7.4</v>
      </c>
      <c r="V59" s="78">
        <f>L59</f>
        <v>0.3</v>
      </c>
      <c r="W59" s="78">
        <f t="shared" ref="W59:W61" si="32">V59*U59*I59</f>
        <v>4.4400000000000004</v>
      </c>
    </row>
    <row r="60" spans="1:26" ht="15">
      <c r="A60" s="72" t="str">
        <f t="shared" si="23"/>
        <v>F3</v>
      </c>
      <c r="B60" s="78">
        <f t="shared" si="23"/>
        <v>9</v>
      </c>
      <c r="C60" s="78">
        <v>1.7</v>
      </c>
      <c r="D60" s="78">
        <v>1.7</v>
      </c>
      <c r="E60" s="78">
        <v>0.3</v>
      </c>
      <c r="F60" s="79">
        <f t="shared" si="26"/>
        <v>7.8029999999999999</v>
      </c>
      <c r="H60" s="72" t="str">
        <f t="shared" si="24"/>
        <v>F3</v>
      </c>
      <c r="I60" s="78">
        <f t="shared" si="24"/>
        <v>9</v>
      </c>
      <c r="J60" s="78">
        <f>2*(C60+D60)</f>
        <v>6.8</v>
      </c>
      <c r="K60" s="78"/>
      <c r="L60" s="78">
        <f t="shared" si="27"/>
        <v>0.3</v>
      </c>
      <c r="M60" s="79">
        <f t="shared" si="28"/>
        <v>18.36</v>
      </c>
      <c r="O60" s="72" t="str">
        <f t="shared" si="29"/>
        <v>F3</v>
      </c>
      <c r="P60" s="78">
        <f>I60</f>
        <v>9</v>
      </c>
      <c r="Q60" s="78">
        <f t="shared" si="30"/>
        <v>2.8899999999999997</v>
      </c>
      <c r="R60" s="78">
        <f t="shared" si="31"/>
        <v>26.009999999999998</v>
      </c>
      <c r="T60" s="72" t="str">
        <f>O60</f>
        <v>F3</v>
      </c>
      <c r="U60" s="78">
        <f>J60</f>
        <v>6.8</v>
      </c>
      <c r="V60" s="78">
        <f>L60</f>
        <v>0.3</v>
      </c>
      <c r="W60" s="78">
        <f t="shared" si="32"/>
        <v>18.36</v>
      </c>
    </row>
    <row r="61" spans="1:26" ht="15">
      <c r="A61" s="72" t="str">
        <f t="shared" si="23"/>
        <v>F4</v>
      </c>
      <c r="B61" s="78">
        <f t="shared" si="23"/>
        <v>3</v>
      </c>
      <c r="C61" s="78">
        <v>1.45</v>
      </c>
      <c r="D61" s="78">
        <v>1.45</v>
      </c>
      <c r="E61" s="78">
        <v>0.25</v>
      </c>
      <c r="F61" s="79">
        <f t="shared" si="26"/>
        <v>1.576875</v>
      </c>
      <c r="H61" s="72" t="str">
        <f t="shared" ref="H61" si="33">A61</f>
        <v>F4</v>
      </c>
      <c r="I61" s="78">
        <f t="shared" ref="I61" si="34">B61</f>
        <v>3</v>
      </c>
      <c r="J61" s="78">
        <f>2*(C61+D61)</f>
        <v>5.8</v>
      </c>
      <c r="K61" s="78"/>
      <c r="L61" s="78">
        <f t="shared" ref="L61" si="35">E61</f>
        <v>0.25</v>
      </c>
      <c r="M61" s="79">
        <f t="shared" si="28"/>
        <v>4.3499999999999996</v>
      </c>
      <c r="O61" s="72" t="str">
        <f t="shared" ref="O61" si="36">H61</f>
        <v>F4</v>
      </c>
      <c r="P61" s="78">
        <f>I61</f>
        <v>3</v>
      </c>
      <c r="Q61" s="78">
        <f t="shared" ref="Q61" si="37">C61*D61</f>
        <v>2.1025</v>
      </c>
      <c r="R61" s="78">
        <f t="shared" ref="R61" si="38">Q61*P61</f>
        <v>6.3075000000000001</v>
      </c>
      <c r="T61" s="72" t="str">
        <f>O61</f>
        <v>F4</v>
      </c>
      <c r="U61" s="78">
        <f>J61</f>
        <v>5.8</v>
      </c>
      <c r="V61" s="78">
        <f>L61</f>
        <v>0.25</v>
      </c>
      <c r="W61" s="78">
        <f t="shared" si="32"/>
        <v>4.3499999999999996</v>
      </c>
    </row>
    <row r="62" spans="1:26" ht="15.75" thickBot="1">
      <c r="A62" s="72"/>
      <c r="B62" s="78"/>
      <c r="C62" s="78"/>
      <c r="D62" s="78"/>
      <c r="E62" s="78"/>
      <c r="F62" s="79"/>
      <c r="H62" s="72"/>
      <c r="I62" s="78"/>
      <c r="J62" s="78"/>
      <c r="K62" s="78"/>
      <c r="L62" s="78"/>
      <c r="M62" s="79"/>
      <c r="O62" s="80"/>
      <c r="P62" s="80"/>
      <c r="Q62" s="80"/>
      <c r="R62" s="80"/>
      <c r="T62" s="80"/>
      <c r="U62" s="80"/>
      <c r="V62" s="80"/>
      <c r="W62" s="80"/>
    </row>
    <row r="63" spans="1:26" ht="13.5" thickBot="1">
      <c r="A63" s="921" t="s">
        <v>393</v>
      </c>
      <c r="B63" s="924"/>
      <c r="C63" s="924"/>
      <c r="D63" s="924"/>
      <c r="E63" s="925"/>
      <c r="F63" s="111">
        <f>SUM(F57:F62)</f>
        <v>14.520375</v>
      </c>
      <c r="H63" s="921" t="s">
        <v>393</v>
      </c>
      <c r="I63" s="924"/>
      <c r="J63" s="924"/>
      <c r="K63" s="924"/>
      <c r="L63" s="925"/>
      <c r="M63" s="111">
        <f>SUM(M58:M62)</f>
        <v>33.03</v>
      </c>
      <c r="O63" s="456"/>
      <c r="P63" s="457"/>
      <c r="Q63" s="457" t="s">
        <v>393</v>
      </c>
      <c r="R63" s="111">
        <f>SUM(R58:R62)</f>
        <v>47.982499999999995</v>
      </c>
      <c r="T63" s="456"/>
      <c r="U63" s="457"/>
      <c r="V63" s="457" t="s">
        <v>393</v>
      </c>
      <c r="W63" s="111">
        <f>SUM(W58:W62)</f>
        <v>33.03</v>
      </c>
    </row>
    <row r="64" spans="1:26" ht="13.5" thickBot="1"/>
    <row r="65" spans="1:26" ht="13.5" thickBot="1">
      <c r="A65" s="329" t="s">
        <v>382</v>
      </c>
      <c r="B65" s="330" t="s">
        <v>291</v>
      </c>
      <c r="C65" s="330" t="s">
        <v>383</v>
      </c>
      <c r="D65" s="331" t="s">
        <v>384</v>
      </c>
      <c r="E65" s="331" t="s">
        <v>385</v>
      </c>
      <c r="F65" s="332" t="s">
        <v>386</v>
      </c>
      <c r="H65" s="329" t="s">
        <v>382</v>
      </c>
      <c r="I65" s="330" t="s">
        <v>291</v>
      </c>
      <c r="J65" s="331" t="s">
        <v>383</v>
      </c>
      <c r="K65" s="330" t="s">
        <v>407</v>
      </c>
      <c r="L65" s="330" t="s">
        <v>385</v>
      </c>
      <c r="M65" s="334" t="s">
        <v>408</v>
      </c>
      <c r="O65" s="329" t="s">
        <v>382</v>
      </c>
      <c r="P65" s="331" t="s">
        <v>383</v>
      </c>
      <c r="Q65" s="330" t="s">
        <v>384</v>
      </c>
      <c r="R65" s="574" t="s">
        <v>387</v>
      </c>
      <c r="T65" s="329" t="s">
        <v>382</v>
      </c>
      <c r="U65" s="331" t="s">
        <v>383</v>
      </c>
      <c r="V65" s="573" t="s">
        <v>385</v>
      </c>
      <c r="W65" s="574" t="s">
        <v>387</v>
      </c>
    </row>
    <row r="66" spans="1:26">
      <c r="A66" s="82"/>
      <c r="B66" s="82"/>
      <c r="C66" s="82"/>
      <c r="D66" s="82"/>
      <c r="E66" s="82"/>
      <c r="F66" s="82"/>
      <c r="H66" s="82"/>
      <c r="I66" s="82"/>
      <c r="J66" s="82"/>
      <c r="K66" s="82"/>
      <c r="L66" s="82"/>
      <c r="M66" s="82"/>
      <c r="O66" s="82"/>
      <c r="P66" s="82"/>
      <c r="Q66" s="82"/>
      <c r="R66" s="82"/>
      <c r="T66" s="82"/>
      <c r="U66" s="82"/>
      <c r="V66" s="82"/>
      <c r="W66" s="82"/>
    </row>
    <row r="67" spans="1:26" ht="15">
      <c r="A67" s="78" t="s">
        <v>395</v>
      </c>
      <c r="B67" s="78">
        <v>1</v>
      </c>
      <c r="C67" s="78">
        <f>B73</f>
        <v>80.600000000000009</v>
      </c>
      <c r="D67" s="78">
        <v>0.25</v>
      </c>
      <c r="E67" s="78">
        <v>0.7</v>
      </c>
      <c r="F67" s="79">
        <f>E67*D67*C67*B67</f>
        <v>14.105</v>
      </c>
      <c r="H67" s="78" t="str">
        <f>A67</f>
        <v>TB1</v>
      </c>
      <c r="I67" s="78">
        <v>1</v>
      </c>
      <c r="J67" s="78">
        <f>C67</f>
        <v>80.600000000000009</v>
      </c>
      <c r="K67" s="78"/>
      <c r="L67" s="78">
        <f>E67</f>
        <v>0.7</v>
      </c>
      <c r="M67" s="79">
        <f>J67*L67*I67</f>
        <v>56.42</v>
      </c>
      <c r="O67" s="78" t="str">
        <f>A67</f>
        <v>TB1</v>
      </c>
      <c r="P67" s="78">
        <f>C67</f>
        <v>80.600000000000009</v>
      </c>
      <c r="Q67" s="78">
        <f>D67</f>
        <v>0.25</v>
      </c>
      <c r="R67" s="78">
        <f>Q67*P67*B67</f>
        <v>20.150000000000002</v>
      </c>
      <c r="T67" s="78" t="str">
        <f>A67</f>
        <v>TB1</v>
      </c>
      <c r="U67" s="78">
        <f>C67</f>
        <v>80.600000000000009</v>
      </c>
      <c r="V67" s="78">
        <f>E67</f>
        <v>0.7</v>
      </c>
      <c r="W67" s="78">
        <f>V67*U67</f>
        <v>56.42</v>
      </c>
    </row>
    <row r="68" spans="1:26" ht="15">
      <c r="A68" s="72" t="s">
        <v>411</v>
      </c>
      <c r="B68" s="78">
        <v>1</v>
      </c>
      <c r="C68" s="78">
        <f>C73+D73</f>
        <v>36.831000000000003</v>
      </c>
      <c r="D68" s="78">
        <v>0.25</v>
      </c>
      <c r="E68" s="78">
        <v>0.4</v>
      </c>
      <c r="F68" s="79">
        <f>E68*D68*C68*B68</f>
        <v>3.6831000000000005</v>
      </c>
      <c r="H68" s="72" t="str">
        <f t="shared" ref="H68:I68" si="39">A68</f>
        <v>TB2 &amp; TB3</v>
      </c>
      <c r="I68" s="78">
        <f t="shared" si="39"/>
        <v>1</v>
      </c>
      <c r="J68" s="78">
        <f>C68*2</f>
        <v>73.662000000000006</v>
      </c>
      <c r="K68" s="78">
        <v>0.05</v>
      </c>
      <c r="L68" s="78">
        <v>0.4</v>
      </c>
      <c r="M68" s="79">
        <f>J68*L68*I68</f>
        <v>29.464800000000004</v>
      </c>
      <c r="O68" s="72" t="str">
        <f>A68</f>
        <v>TB2 &amp; TB3</v>
      </c>
      <c r="P68" s="78">
        <f>C68</f>
        <v>36.831000000000003</v>
      </c>
      <c r="Q68" s="78">
        <f>D68</f>
        <v>0.25</v>
      </c>
      <c r="R68" s="78">
        <f>Q68*P68*B68</f>
        <v>9.2077500000000008</v>
      </c>
      <c r="T68" s="72" t="str">
        <f>A68</f>
        <v>TB2 &amp; TB3</v>
      </c>
      <c r="U68" s="78">
        <f>J68</f>
        <v>73.662000000000006</v>
      </c>
      <c r="V68" s="78">
        <f>E68</f>
        <v>0.4</v>
      </c>
      <c r="W68" s="78">
        <f>V68*U68</f>
        <v>29.464800000000004</v>
      </c>
    </row>
    <row r="69" spans="1:26" ht="15.75" thickBot="1">
      <c r="A69" s="76"/>
      <c r="B69" s="80"/>
      <c r="C69" s="80"/>
      <c r="D69" s="80"/>
      <c r="E69" s="80"/>
      <c r="F69" s="81"/>
      <c r="H69" s="72"/>
      <c r="I69" s="78"/>
      <c r="J69" s="78"/>
      <c r="K69" s="78"/>
      <c r="L69" s="78"/>
      <c r="M69" s="79"/>
      <c r="O69" s="80"/>
      <c r="P69" s="80"/>
      <c r="Q69" s="80"/>
      <c r="R69" s="80"/>
      <c r="T69" s="80"/>
      <c r="U69" s="80"/>
      <c r="V69" s="80"/>
      <c r="W69" s="80"/>
    </row>
    <row r="70" spans="1:26" ht="13.5" thickBot="1">
      <c r="A70" s="921" t="s">
        <v>393</v>
      </c>
      <c r="B70" s="924"/>
      <c r="C70" s="924"/>
      <c r="D70" s="924"/>
      <c r="E70" s="925"/>
      <c r="F70" s="111">
        <f>SUM(F66:F69)</f>
        <v>17.7881</v>
      </c>
      <c r="H70" s="921" t="s">
        <v>393</v>
      </c>
      <c r="I70" s="924"/>
      <c r="J70" s="924"/>
      <c r="K70" s="924"/>
      <c r="L70" s="925"/>
      <c r="M70" s="111">
        <f>SUM(M66:M69)</f>
        <v>85.884800000000013</v>
      </c>
      <c r="O70" s="456"/>
      <c r="P70" s="457"/>
      <c r="Q70" s="457" t="s">
        <v>393</v>
      </c>
      <c r="R70" s="111">
        <f>SUM(R65:R69)</f>
        <v>29.357750000000003</v>
      </c>
      <c r="T70" s="456"/>
      <c r="U70" s="457"/>
      <c r="V70" s="457" t="s">
        <v>393</v>
      </c>
      <c r="W70" s="111">
        <f>SUM(W65:W69)</f>
        <v>85.884800000000013</v>
      </c>
    </row>
    <row r="71" spans="1:26" ht="13.5" thickBot="1"/>
    <row r="72" spans="1:26" ht="13.5" thickBot="1">
      <c r="A72" s="111" t="s">
        <v>398</v>
      </c>
      <c r="B72" s="223"/>
    </row>
    <row r="73" spans="1:26">
      <c r="A73" s="648" t="s">
        <v>412</v>
      </c>
      <c r="B73" s="100">
        <f>N48</f>
        <v>80.600000000000009</v>
      </c>
      <c r="C73" s="100">
        <f>N49</f>
        <v>7.9280000000000008</v>
      </c>
      <c r="D73" s="100">
        <f>N50</f>
        <v>28.902999999999999</v>
      </c>
      <c r="E73" s="100">
        <v>0</v>
      </c>
      <c r="F73" s="100"/>
      <c r="G73" s="100"/>
      <c r="H73" s="100"/>
      <c r="I73" s="100"/>
      <c r="J73" s="100"/>
      <c r="K73" s="100"/>
      <c r="L73" s="648"/>
      <c r="M73" s="100"/>
      <c r="N73" s="649">
        <f>SUM(B73:M73)</f>
        <v>117.43100000000001</v>
      </c>
      <c r="V73" s="223"/>
      <c r="W73" s="223"/>
      <c r="Z73" s="101"/>
    </row>
    <row r="74" spans="1:26" ht="13.5" hidden="1" thickBot="1"/>
    <row r="75" spans="1:26" ht="13.5" hidden="1" thickBot="1"/>
    <row r="76" spans="1:26" ht="13.5" hidden="1" thickBot="1"/>
    <row r="77" spans="1:26" ht="13.5" hidden="1" thickBot="1"/>
    <row r="78" spans="1:26" s="454" customFormat="1" ht="13.5" hidden="1" thickBot="1">
      <c r="A78" s="453"/>
    </row>
    <row r="79" spans="1:26" ht="13.5" hidden="1" thickBot="1"/>
    <row r="80" spans="1:26" ht="15.75" hidden="1" thickBot="1">
      <c r="A80" s="327" t="s">
        <v>378</v>
      </c>
      <c r="B80" s="929" t="s">
        <v>413</v>
      </c>
      <c r="C80" s="930"/>
      <c r="D80" s="930"/>
      <c r="E80" s="930"/>
      <c r="F80" s="931"/>
    </row>
    <row r="81" spans="1:14" ht="13.5" hidden="1" thickBot="1"/>
    <row r="82" spans="1:14" ht="15.75" hidden="1" thickBot="1">
      <c r="A82" s="328" t="s">
        <v>380</v>
      </c>
      <c r="B82" s="92">
        <f>F88</f>
        <v>0</v>
      </c>
      <c r="C82" s="95" t="s">
        <v>66</v>
      </c>
      <c r="I82" s="927" t="s">
        <v>381</v>
      </c>
      <c r="J82" s="928"/>
      <c r="K82" s="209"/>
      <c r="L82" s="92">
        <f>N88</f>
        <v>0</v>
      </c>
      <c r="M82" s="95" t="s">
        <v>84</v>
      </c>
    </row>
    <row r="83" spans="1:14" ht="13.5" hidden="1" thickBot="1"/>
    <row r="84" spans="1:14" ht="13.5" hidden="1" thickBot="1">
      <c r="A84" s="329" t="s">
        <v>382</v>
      </c>
      <c r="B84" s="330" t="s">
        <v>291</v>
      </c>
      <c r="C84" s="330" t="s">
        <v>414</v>
      </c>
      <c r="D84" s="331" t="s">
        <v>384</v>
      </c>
      <c r="E84" s="331" t="s">
        <v>385</v>
      </c>
      <c r="F84" s="332" t="s">
        <v>386</v>
      </c>
      <c r="I84" s="333" t="s">
        <v>382</v>
      </c>
      <c r="J84" s="330" t="s">
        <v>291</v>
      </c>
      <c r="K84" s="330"/>
      <c r="L84" s="331" t="s">
        <v>383</v>
      </c>
      <c r="M84" s="330" t="s">
        <v>394</v>
      </c>
      <c r="N84" s="334" t="s">
        <v>387</v>
      </c>
    </row>
    <row r="85" spans="1:14" ht="13.5" hidden="1" thickBot="1">
      <c r="A85" s="82"/>
      <c r="B85" s="82"/>
      <c r="C85" s="82"/>
      <c r="D85" s="82"/>
      <c r="E85" s="82"/>
      <c r="F85" s="82"/>
      <c r="I85" s="82"/>
      <c r="J85" s="82"/>
      <c r="K85" s="82"/>
      <c r="L85" s="82"/>
      <c r="M85" s="82"/>
      <c r="N85" s="82"/>
    </row>
    <row r="86" spans="1:14" ht="15.75" hidden="1" thickBot="1">
      <c r="A86" s="72" t="s">
        <v>415</v>
      </c>
      <c r="B86" s="78">
        <v>0</v>
      </c>
      <c r="C86" s="78">
        <v>0</v>
      </c>
      <c r="D86" s="78">
        <v>0</v>
      </c>
      <c r="E86" s="78">
        <v>0</v>
      </c>
      <c r="F86" s="79">
        <f>B86*C86*E86</f>
        <v>0</v>
      </c>
      <c r="I86" s="72" t="str">
        <f t="shared" ref="I86:J86" si="40">A86</f>
        <v>450MM TK RAFT</v>
      </c>
      <c r="J86" s="78">
        <f t="shared" si="40"/>
        <v>0</v>
      </c>
      <c r="K86" s="78"/>
      <c r="L86" s="78">
        <f t="shared" ref="L86:M86" si="41">C86</f>
        <v>0</v>
      </c>
      <c r="M86" s="78">
        <f t="shared" si="41"/>
        <v>0</v>
      </c>
      <c r="N86" s="79">
        <f>L86*J86</f>
        <v>0</v>
      </c>
    </row>
    <row r="87" spans="1:14" ht="15.75" hidden="1" thickBot="1">
      <c r="A87" s="76"/>
      <c r="B87" s="80"/>
      <c r="C87" s="80"/>
      <c r="D87" s="80"/>
      <c r="E87" s="80"/>
      <c r="F87" s="81"/>
      <c r="I87" s="80"/>
      <c r="J87" s="80"/>
      <c r="K87" s="80"/>
      <c r="L87" s="80"/>
      <c r="M87" s="80"/>
      <c r="N87" s="80"/>
    </row>
    <row r="88" spans="1:14" ht="13.5" hidden="1" thickBot="1">
      <c r="A88" s="921" t="s">
        <v>393</v>
      </c>
      <c r="B88" s="924"/>
      <c r="C88" s="924"/>
      <c r="D88" s="924"/>
      <c r="E88" s="925"/>
      <c r="F88" s="111">
        <f>SUM(F85:F87)</f>
        <v>0</v>
      </c>
      <c r="I88" s="921" t="s">
        <v>393</v>
      </c>
      <c r="J88" s="924"/>
      <c r="K88" s="924"/>
      <c r="L88" s="924"/>
      <c r="M88" s="925"/>
      <c r="N88" s="111">
        <f>SUM(N85:N87)</f>
        <v>0</v>
      </c>
    </row>
    <row r="89" spans="1:14" ht="13.5" hidden="1" thickBot="1"/>
    <row r="90" spans="1:14" ht="13.5" hidden="1" thickBot="1"/>
    <row r="91" spans="1:14" ht="15.75" hidden="1" thickBot="1">
      <c r="A91" s="335" t="s">
        <v>62</v>
      </c>
      <c r="B91" s="92">
        <f>F97</f>
        <v>0</v>
      </c>
      <c r="C91" s="95" t="s">
        <v>66</v>
      </c>
    </row>
    <row r="92" spans="1:14" ht="13.5" hidden="1" thickBot="1"/>
    <row r="93" spans="1:14" ht="13.5" hidden="1" thickBot="1">
      <c r="A93" s="329" t="s">
        <v>382</v>
      </c>
      <c r="B93" s="330" t="s">
        <v>291</v>
      </c>
      <c r="C93" s="331" t="s">
        <v>383</v>
      </c>
      <c r="D93" s="331" t="s">
        <v>384</v>
      </c>
      <c r="E93" s="331" t="s">
        <v>385</v>
      </c>
      <c r="F93" s="332" t="s">
        <v>386</v>
      </c>
      <c r="G93" s="318"/>
    </row>
    <row r="94" spans="1:14" ht="13.5" hidden="1" thickBot="1">
      <c r="A94" s="82"/>
      <c r="B94" s="82"/>
      <c r="C94" s="82"/>
      <c r="D94" s="82"/>
      <c r="E94" s="82"/>
      <c r="F94" s="82"/>
      <c r="G94" s="74"/>
    </row>
    <row r="95" spans="1:14" ht="15.75" hidden="1" thickBot="1">
      <c r="A95" s="72" t="str">
        <f>A86</f>
        <v>450MM TK RAFT</v>
      </c>
      <c r="B95" s="78">
        <f>B86</f>
        <v>0</v>
      </c>
      <c r="C95" s="78">
        <f>C86</f>
        <v>0</v>
      </c>
      <c r="D95" s="78">
        <f>D86</f>
        <v>0</v>
      </c>
      <c r="E95" s="78">
        <v>0.05</v>
      </c>
      <c r="F95" s="79">
        <f>B95*C95*E95</f>
        <v>0</v>
      </c>
      <c r="G95" s="74"/>
    </row>
    <row r="96" spans="1:14" ht="15.75" hidden="1" thickBot="1">
      <c r="A96" s="72"/>
      <c r="B96" s="78"/>
      <c r="C96" s="78"/>
      <c r="D96" s="78"/>
      <c r="E96" s="78"/>
      <c r="F96" s="79"/>
      <c r="G96" s="74"/>
    </row>
    <row r="97" spans="1:17" ht="13.5" hidden="1" thickBot="1">
      <c r="A97" s="921" t="s">
        <v>393</v>
      </c>
      <c r="B97" s="924"/>
      <c r="C97" s="924"/>
      <c r="D97" s="924"/>
      <c r="E97" s="925"/>
      <c r="F97" s="111">
        <f>SUM(F94:F96)</f>
        <v>0</v>
      </c>
      <c r="G97" s="74"/>
    </row>
    <row r="98" spans="1:17" ht="13.5" hidden="1" thickBot="1"/>
    <row r="99" spans="1:17" ht="13.5" hidden="1" thickBot="1"/>
    <row r="100" spans="1:17" ht="15.75" hidden="1" thickBot="1">
      <c r="A100" s="328" t="s">
        <v>400</v>
      </c>
      <c r="B100" s="97"/>
      <c r="C100" s="98"/>
      <c r="H100" s="926"/>
      <c r="I100" s="926"/>
    </row>
    <row r="101" spans="1:17" ht="15.75" hidden="1" thickBot="1">
      <c r="A101" s="328" t="s">
        <v>416</v>
      </c>
      <c r="B101" s="92">
        <f>F107</f>
        <v>0</v>
      </c>
      <c r="C101" s="95" t="s">
        <v>66</v>
      </c>
      <c r="H101" s="274"/>
      <c r="I101" s="319"/>
      <c r="J101" s="320"/>
      <c r="K101" s="320"/>
    </row>
    <row r="102" spans="1:17" ht="13.5" hidden="1" thickBot="1"/>
    <row r="103" spans="1:17" ht="13.5" hidden="1" thickBot="1">
      <c r="A103" s="329" t="s">
        <v>382</v>
      </c>
      <c r="B103" s="330" t="s">
        <v>291</v>
      </c>
      <c r="C103" s="331" t="s">
        <v>383</v>
      </c>
      <c r="D103" s="331" t="s">
        <v>384</v>
      </c>
      <c r="E103" s="331" t="s">
        <v>385</v>
      </c>
      <c r="F103" s="332" t="s">
        <v>386</v>
      </c>
      <c r="H103" s="105"/>
      <c r="I103" s="321"/>
      <c r="J103" s="105"/>
      <c r="K103" s="321"/>
      <c r="L103" s="321"/>
      <c r="M103" s="321"/>
    </row>
    <row r="104" spans="1:17" ht="13.5" hidden="1" thickBot="1">
      <c r="A104" s="82"/>
      <c r="B104" s="82"/>
      <c r="C104" s="82"/>
      <c r="D104" s="82"/>
      <c r="E104" s="82"/>
      <c r="F104" s="82"/>
    </row>
    <row r="105" spans="1:17" ht="15.75" hidden="1" thickBot="1">
      <c r="A105" s="72" t="str">
        <f>A95</f>
        <v>450MM TK RAFT</v>
      </c>
      <c r="B105" s="78">
        <f>B95</f>
        <v>0</v>
      </c>
      <c r="C105" s="78">
        <f>C86</f>
        <v>0</v>
      </c>
      <c r="D105" s="78">
        <f>D86</f>
        <v>0</v>
      </c>
      <c r="E105" s="78">
        <v>0.45</v>
      </c>
      <c r="F105" s="79">
        <f>B105*C105*E105</f>
        <v>0</v>
      </c>
      <c r="H105" s="223"/>
      <c r="M105" s="102"/>
    </row>
    <row r="106" spans="1:17" ht="15.75" hidden="1" thickBot="1">
      <c r="A106" s="72"/>
      <c r="B106" s="78"/>
      <c r="C106" s="78"/>
      <c r="D106" s="78"/>
      <c r="E106" s="78"/>
      <c r="F106" s="79"/>
      <c r="H106" s="223"/>
      <c r="M106" s="102"/>
    </row>
    <row r="107" spans="1:17" ht="13.5" hidden="1" thickBot="1">
      <c r="A107" s="921" t="s">
        <v>393</v>
      </c>
      <c r="B107" s="924"/>
      <c r="C107" s="924"/>
      <c r="D107" s="924"/>
      <c r="E107" s="925"/>
      <c r="F107" s="111">
        <f>SUM(F104:F106)</f>
        <v>0</v>
      </c>
      <c r="H107" s="943"/>
      <c r="I107" s="943"/>
      <c r="J107" s="943"/>
      <c r="K107" s="943"/>
      <c r="L107" s="943"/>
      <c r="M107" s="101"/>
    </row>
    <row r="108" spans="1:17" ht="13.5" hidden="1" thickBot="1">
      <c r="A108" s="134"/>
      <c r="B108" s="135"/>
      <c r="C108" s="135"/>
      <c r="D108" s="135"/>
      <c r="E108" s="135"/>
      <c r="F108" s="101"/>
      <c r="H108" s="134"/>
      <c r="I108" s="134"/>
      <c r="J108" s="134"/>
      <c r="K108" s="134"/>
      <c r="L108" s="134"/>
      <c r="M108" s="101"/>
    </row>
    <row r="109" spans="1:17" ht="13.5" hidden="1" thickBot="1">
      <c r="A109" s="134"/>
      <c r="B109" s="135"/>
      <c r="C109" s="135"/>
      <c r="D109" s="135"/>
      <c r="E109" s="135"/>
      <c r="F109" s="101"/>
      <c r="H109" s="134"/>
      <c r="I109" s="134"/>
      <c r="J109" s="134"/>
      <c r="K109" s="134"/>
      <c r="L109" s="134"/>
      <c r="M109" s="101"/>
    </row>
    <row r="110" spans="1:17" ht="15.75" hidden="1" thickBot="1">
      <c r="A110" s="328" t="s">
        <v>417</v>
      </c>
      <c r="B110" s="92">
        <f>F115</f>
        <v>0</v>
      </c>
      <c r="C110" s="95" t="s">
        <v>66</v>
      </c>
      <c r="H110" s="328" t="str">
        <f>A110</f>
        <v>FB</v>
      </c>
      <c r="I110" s="117">
        <f>M115</f>
        <v>0</v>
      </c>
      <c r="J110" s="118" t="s">
        <v>84</v>
      </c>
      <c r="K110" s="210"/>
    </row>
    <row r="111" spans="1:17" ht="13.5" hidden="1" thickBot="1">
      <c r="A111" s="134"/>
      <c r="B111" s="135"/>
      <c r="C111" s="135"/>
      <c r="D111" s="135"/>
      <c r="E111" s="135"/>
      <c r="F111" s="101"/>
      <c r="H111" s="134"/>
      <c r="I111" s="134"/>
      <c r="J111" s="134"/>
      <c r="K111" s="134"/>
      <c r="L111" s="134"/>
      <c r="M111" s="101"/>
    </row>
    <row r="112" spans="1:17" ht="13.5" hidden="1" thickBot="1">
      <c r="A112" s="329" t="s">
        <v>382</v>
      </c>
      <c r="B112" s="330" t="s">
        <v>291</v>
      </c>
      <c r="C112" s="330" t="s">
        <v>414</v>
      </c>
      <c r="D112" s="331" t="s">
        <v>384</v>
      </c>
      <c r="E112" s="331" t="s">
        <v>385</v>
      </c>
      <c r="F112" s="332" t="s">
        <v>386</v>
      </c>
      <c r="H112" s="329" t="s">
        <v>382</v>
      </c>
      <c r="I112" s="330" t="s">
        <v>291</v>
      </c>
      <c r="J112" s="331" t="s">
        <v>383</v>
      </c>
      <c r="K112" s="330" t="s">
        <v>407</v>
      </c>
      <c r="L112" s="330" t="s">
        <v>385</v>
      </c>
      <c r="M112" s="334" t="s">
        <v>408</v>
      </c>
      <c r="O112" s="932" t="s">
        <v>418</v>
      </c>
      <c r="P112" s="933"/>
      <c r="Q112" s="934"/>
    </row>
    <row r="113" spans="1:22" ht="15.75" hidden="1" thickBot="1">
      <c r="A113" s="136" t="s">
        <v>419</v>
      </c>
      <c r="B113" s="78">
        <v>0</v>
      </c>
      <c r="C113" s="78">
        <v>0</v>
      </c>
      <c r="D113" s="78">
        <v>0</v>
      </c>
      <c r="E113" s="78">
        <v>0.55000000000000004</v>
      </c>
      <c r="F113" s="602">
        <f>E113*C113*B113</f>
        <v>0</v>
      </c>
      <c r="H113" s="72" t="str">
        <f>A113</f>
        <v>FB1-FB4</v>
      </c>
      <c r="I113" s="78">
        <f>B113</f>
        <v>0</v>
      </c>
      <c r="J113" s="78">
        <f>Q118</f>
        <v>0</v>
      </c>
      <c r="K113" s="78"/>
      <c r="L113" s="78">
        <f>E113</f>
        <v>0.55000000000000004</v>
      </c>
      <c r="M113" s="602">
        <f>I113*J113*L113</f>
        <v>0</v>
      </c>
      <c r="O113" s="935"/>
      <c r="P113" s="936"/>
      <c r="Q113" s="937"/>
    </row>
    <row r="114" spans="1:22" ht="15.75" hidden="1" thickBot="1">
      <c r="A114" s="72"/>
      <c r="B114" s="78"/>
      <c r="C114" s="78"/>
      <c r="D114" s="78"/>
      <c r="E114" s="78"/>
      <c r="F114" s="79"/>
      <c r="H114" s="72"/>
      <c r="I114" s="78"/>
      <c r="J114" s="78"/>
      <c r="K114" s="78"/>
      <c r="L114" s="78"/>
      <c r="M114" s="79"/>
      <c r="O114" s="935"/>
      <c r="P114" s="936"/>
      <c r="Q114" s="937"/>
    </row>
    <row r="115" spans="1:22" ht="13.5" hidden="1" thickBot="1">
      <c r="A115" s="921" t="s">
        <v>393</v>
      </c>
      <c r="B115" s="924"/>
      <c r="C115" s="924"/>
      <c r="D115" s="924"/>
      <c r="E115" s="925"/>
      <c r="F115" s="111">
        <f>SUM(F113:F114)</f>
        <v>0</v>
      </c>
      <c r="H115" s="921" t="s">
        <v>393</v>
      </c>
      <c r="I115" s="924"/>
      <c r="J115" s="924"/>
      <c r="K115" s="924"/>
      <c r="L115" s="925"/>
      <c r="M115" s="111">
        <f>SUM(M113:M113)</f>
        <v>0</v>
      </c>
      <c r="O115" s="938"/>
      <c r="P115" s="939"/>
      <c r="Q115" s="940"/>
    </row>
    <row r="116" spans="1:22" ht="13.5" hidden="1" thickBot="1"/>
    <row r="117" spans="1:22" ht="13.5" hidden="1" thickBot="1">
      <c r="A117" s="336" t="s">
        <v>420</v>
      </c>
    </row>
    <row r="118" spans="1:22" ht="13.5" hidden="1" thickBot="1">
      <c r="A118" s="103" t="str">
        <f>A113</f>
        <v>FB1-FB4</v>
      </c>
      <c r="B118" s="100">
        <v>0</v>
      </c>
      <c r="C118" s="100">
        <v>0</v>
      </c>
      <c r="D118" s="100">
        <v>0</v>
      </c>
      <c r="E118" s="100">
        <v>0</v>
      </c>
      <c r="F118" s="100">
        <v>0</v>
      </c>
      <c r="G118" s="100">
        <v>0</v>
      </c>
      <c r="H118" s="100">
        <v>0</v>
      </c>
      <c r="I118" s="100">
        <v>0</v>
      </c>
      <c r="J118" s="100">
        <v>0</v>
      </c>
      <c r="K118" s="100"/>
      <c r="L118" s="100">
        <v>0</v>
      </c>
      <c r="M118" s="100">
        <v>0</v>
      </c>
      <c r="N118" s="100">
        <v>0</v>
      </c>
      <c r="O118" s="100">
        <v>0</v>
      </c>
      <c r="P118" s="100">
        <v>0</v>
      </c>
      <c r="Q118" s="114">
        <f>SUM(F118:P118)</f>
        <v>0</v>
      </c>
      <c r="U118" s="101"/>
      <c r="V118" s="101"/>
    </row>
    <row r="119" spans="1:22" ht="15">
      <c r="N119" s="102"/>
    </row>
    <row r="120" spans="1:22" ht="15.75" thickBot="1">
      <c r="N120" s="102"/>
    </row>
    <row r="121" spans="1:22" ht="15.75" thickBot="1">
      <c r="A121" s="328" t="s">
        <v>421</v>
      </c>
      <c r="B121" s="469">
        <f>F129</f>
        <v>1.8315000000000001</v>
      </c>
      <c r="C121" s="95" t="s">
        <v>66</v>
      </c>
      <c r="D121" s="450" t="s">
        <v>385</v>
      </c>
      <c r="E121" s="459">
        <v>1.85</v>
      </c>
      <c r="F121" s="121" t="s">
        <v>422</v>
      </c>
      <c r="H121" s="328" t="s">
        <v>421</v>
      </c>
      <c r="I121" s="469">
        <f>M129</f>
        <v>30.155000000000001</v>
      </c>
      <c r="J121" s="122" t="s">
        <v>84</v>
      </c>
      <c r="K121" s="122"/>
      <c r="L121" s="458" t="str">
        <f>D121</f>
        <v>Depth</v>
      </c>
      <c r="M121" s="460">
        <f>E121</f>
        <v>1.85</v>
      </c>
      <c r="N121" s="121" t="s">
        <v>422</v>
      </c>
      <c r="P121" s="328" t="s">
        <v>421</v>
      </c>
      <c r="Q121" s="469">
        <f>T129</f>
        <v>30.155000000000001</v>
      </c>
      <c r="R121" s="122" t="s">
        <v>84</v>
      </c>
      <c r="S121" s="944" t="s">
        <v>402</v>
      </c>
      <c r="T121" s="945"/>
      <c r="U121" s="106"/>
      <c r="V121" s="575"/>
    </row>
    <row r="122" spans="1:22" ht="13.5" thickBot="1"/>
    <row r="123" spans="1:22" ht="13.5" thickBot="1">
      <c r="A123" s="329" t="s">
        <v>382</v>
      </c>
      <c r="B123" s="331" t="s">
        <v>291</v>
      </c>
      <c r="C123" s="331" t="s">
        <v>383</v>
      </c>
      <c r="D123" s="331" t="s">
        <v>384</v>
      </c>
      <c r="E123" s="331" t="s">
        <v>385</v>
      </c>
      <c r="F123" s="332" t="s">
        <v>386</v>
      </c>
      <c r="H123" s="329" t="s">
        <v>382</v>
      </c>
      <c r="I123" s="331" t="s">
        <v>291</v>
      </c>
      <c r="J123" s="330" t="s">
        <v>410</v>
      </c>
      <c r="K123" s="331"/>
      <c r="L123" s="330" t="s">
        <v>385</v>
      </c>
      <c r="M123" s="334" t="s">
        <v>408</v>
      </c>
      <c r="P123" s="329" t="s">
        <v>382</v>
      </c>
      <c r="Q123" s="331" t="s">
        <v>291</v>
      </c>
      <c r="R123" s="330" t="s">
        <v>410</v>
      </c>
      <c r="S123" s="330" t="s">
        <v>385</v>
      </c>
      <c r="T123" s="334" t="s">
        <v>408</v>
      </c>
      <c r="U123" s="577"/>
    </row>
    <row r="124" spans="1:22">
      <c r="A124" s="82"/>
      <c r="B124" s="82"/>
      <c r="C124" s="82"/>
      <c r="D124" s="82"/>
      <c r="E124" s="82"/>
      <c r="F124" s="82"/>
      <c r="H124" s="82"/>
      <c r="I124" s="82"/>
      <c r="J124" s="82"/>
      <c r="K124" s="82"/>
      <c r="L124" s="82"/>
      <c r="M124" s="82"/>
      <c r="P124" s="82"/>
      <c r="Q124" s="82"/>
      <c r="R124" s="82"/>
      <c r="S124" s="82"/>
      <c r="T124" s="82"/>
      <c r="U124" s="74"/>
    </row>
    <row r="125" spans="1:22" ht="15">
      <c r="A125" s="123" t="s">
        <v>423</v>
      </c>
      <c r="B125" s="78">
        <v>3</v>
      </c>
      <c r="C125" s="78">
        <v>0.35</v>
      </c>
      <c r="D125" s="78">
        <v>0.2</v>
      </c>
      <c r="E125" s="78">
        <f>E121</f>
        <v>1.85</v>
      </c>
      <c r="F125" s="79">
        <f>E125*D125*C125*B125</f>
        <v>0.38850000000000001</v>
      </c>
      <c r="H125" s="123" t="str">
        <f t="shared" ref="H125:I125" si="42">A125</f>
        <v>C1</v>
      </c>
      <c r="I125" s="78">
        <f t="shared" si="42"/>
        <v>3</v>
      </c>
      <c r="J125" s="78">
        <f t="shared" ref="J125" si="43">2*(C125+D125)</f>
        <v>1.1000000000000001</v>
      </c>
      <c r="K125" s="78"/>
      <c r="L125" s="78">
        <f>M121</f>
        <v>1.85</v>
      </c>
      <c r="M125" s="79">
        <f>L125*J125*I125</f>
        <v>6.1050000000000004</v>
      </c>
      <c r="P125" s="123" t="str">
        <f t="shared" ref="P125:R125" si="44">H125</f>
        <v>C1</v>
      </c>
      <c r="Q125" s="78">
        <f t="shared" si="44"/>
        <v>3</v>
      </c>
      <c r="R125" s="78">
        <f t="shared" si="44"/>
        <v>1.1000000000000001</v>
      </c>
      <c r="S125" s="78">
        <f>L125</f>
        <v>1.85</v>
      </c>
      <c r="T125" s="79">
        <f>S125*R125*Q125</f>
        <v>6.1050000000000004</v>
      </c>
      <c r="U125" s="576"/>
    </row>
    <row r="126" spans="1:22" ht="15">
      <c r="A126" s="123" t="s">
        <v>424</v>
      </c>
      <c r="B126" s="78">
        <v>4</v>
      </c>
      <c r="C126" s="78">
        <v>0.3</v>
      </c>
      <c r="D126" s="78">
        <v>0.2</v>
      </c>
      <c r="E126" s="78">
        <f>E121</f>
        <v>1.85</v>
      </c>
      <c r="F126" s="79">
        <f>E126*D126*C126*B126</f>
        <v>0.44400000000000006</v>
      </c>
      <c r="H126" s="123" t="str">
        <f t="shared" ref="H126:H127" si="45">A126</f>
        <v>C2</v>
      </c>
      <c r="I126" s="78">
        <f t="shared" ref="I126:I127" si="46">B126</f>
        <v>4</v>
      </c>
      <c r="J126" s="78">
        <f t="shared" ref="J126:J127" si="47">2*(C126+D126)</f>
        <v>1</v>
      </c>
      <c r="K126" s="78"/>
      <c r="L126" s="78">
        <f>M121</f>
        <v>1.85</v>
      </c>
      <c r="M126" s="79">
        <f>L126*J126*I126</f>
        <v>7.4</v>
      </c>
      <c r="P126" s="123" t="str">
        <f t="shared" ref="P126:P127" si="48">H126</f>
        <v>C2</v>
      </c>
      <c r="Q126" s="78">
        <f t="shared" ref="Q126:Q127" si="49">I126</f>
        <v>4</v>
      </c>
      <c r="R126" s="78">
        <f t="shared" ref="R126:R127" si="50">J126</f>
        <v>1</v>
      </c>
      <c r="S126" s="78">
        <f>L126</f>
        <v>1.85</v>
      </c>
      <c r="T126" s="79">
        <f>S126*R126*Q126</f>
        <v>7.4</v>
      </c>
      <c r="U126" s="576"/>
    </row>
    <row r="127" spans="1:22" ht="15">
      <c r="A127" s="123" t="s">
        <v>425</v>
      </c>
      <c r="B127" s="78">
        <v>9</v>
      </c>
      <c r="C127" s="78">
        <v>0.3</v>
      </c>
      <c r="D127" s="78">
        <v>0.2</v>
      </c>
      <c r="E127" s="78">
        <f>E121</f>
        <v>1.85</v>
      </c>
      <c r="F127" s="79">
        <f>E127*D127*C127*B127</f>
        <v>0.99900000000000011</v>
      </c>
      <c r="H127" s="123" t="str">
        <f t="shared" si="45"/>
        <v>C3</v>
      </c>
      <c r="I127" s="78">
        <f t="shared" si="46"/>
        <v>9</v>
      </c>
      <c r="J127" s="78">
        <f t="shared" si="47"/>
        <v>1</v>
      </c>
      <c r="K127" s="78"/>
      <c r="L127" s="78">
        <f>M121</f>
        <v>1.85</v>
      </c>
      <c r="M127" s="79">
        <f>L127*J127*I127</f>
        <v>16.650000000000002</v>
      </c>
      <c r="P127" s="123" t="str">
        <f t="shared" si="48"/>
        <v>C3</v>
      </c>
      <c r="Q127" s="78">
        <f t="shared" si="49"/>
        <v>9</v>
      </c>
      <c r="R127" s="78">
        <f t="shared" si="50"/>
        <v>1</v>
      </c>
      <c r="S127" s="78">
        <f>L127</f>
        <v>1.85</v>
      </c>
      <c r="T127" s="79">
        <f>S127*R127*Q127</f>
        <v>16.650000000000002</v>
      </c>
      <c r="U127" s="576"/>
    </row>
    <row r="128" spans="1:22" ht="15.75" thickBot="1">
      <c r="A128" s="123"/>
      <c r="B128" s="78"/>
      <c r="C128" s="78"/>
      <c r="D128" s="78"/>
      <c r="E128" s="78"/>
      <c r="F128" s="79"/>
      <c r="H128" s="124"/>
      <c r="I128" s="80"/>
      <c r="J128" s="80"/>
      <c r="K128" s="80"/>
      <c r="L128" s="80"/>
      <c r="M128" s="81"/>
      <c r="P128" s="124"/>
      <c r="Q128" s="80"/>
      <c r="R128" s="80"/>
      <c r="S128" s="80"/>
      <c r="T128" s="81"/>
      <c r="U128" s="576"/>
    </row>
    <row r="129" spans="1:21" ht="13.5" thickBot="1">
      <c r="A129" s="921" t="s">
        <v>393</v>
      </c>
      <c r="B129" s="922"/>
      <c r="C129" s="922"/>
      <c r="D129" s="922"/>
      <c r="E129" s="923"/>
      <c r="F129" s="111">
        <f>SUM(F124:F128)</f>
        <v>1.8315000000000001</v>
      </c>
      <c r="H129" s="921" t="s">
        <v>393</v>
      </c>
      <c r="I129" s="922"/>
      <c r="J129" s="922"/>
      <c r="K129" s="922"/>
      <c r="L129" s="923"/>
      <c r="M129" s="111">
        <f>SUM(M124:M128)</f>
        <v>30.155000000000001</v>
      </c>
      <c r="P129" s="921" t="s">
        <v>393</v>
      </c>
      <c r="Q129" s="924"/>
      <c r="R129" s="924"/>
      <c r="S129" s="925"/>
      <c r="T129" s="111">
        <f>SUM(T124:T128)</f>
        <v>30.155000000000001</v>
      </c>
      <c r="U129" s="260"/>
    </row>
    <row r="130" spans="1:21" ht="15.75" thickBot="1">
      <c r="A130" s="102"/>
    </row>
    <row r="131" spans="1:21" ht="15.75" thickBot="1">
      <c r="A131" s="328" t="s">
        <v>426</v>
      </c>
      <c r="B131" s="469">
        <f>F137</f>
        <v>0.72150000000000014</v>
      </c>
      <c r="C131" s="95" t="s">
        <v>66</v>
      </c>
      <c r="D131" s="450" t="s">
        <v>385</v>
      </c>
      <c r="E131" s="459">
        <v>1.85</v>
      </c>
      <c r="F131" s="121" t="s">
        <v>422</v>
      </c>
      <c r="H131" s="328" t="str">
        <f>A131</f>
        <v>STARTER</v>
      </c>
      <c r="I131" s="469">
        <f>M137</f>
        <v>5.9200000000000008</v>
      </c>
      <c r="J131" s="122" t="s">
        <v>84</v>
      </c>
      <c r="K131" s="122"/>
      <c r="L131" s="458" t="str">
        <f>D131</f>
        <v>Depth</v>
      </c>
      <c r="M131" s="460">
        <f>E131</f>
        <v>1.85</v>
      </c>
      <c r="N131" s="121" t="s">
        <v>422</v>
      </c>
    </row>
    <row r="132" spans="1:21" ht="13.5" thickBot="1"/>
    <row r="133" spans="1:21" ht="13.5" thickBot="1">
      <c r="A133" s="329" t="s">
        <v>382</v>
      </c>
      <c r="B133" s="331" t="s">
        <v>291</v>
      </c>
      <c r="C133" s="331" t="s">
        <v>383</v>
      </c>
      <c r="D133" s="331" t="s">
        <v>384</v>
      </c>
      <c r="E133" s="331" t="s">
        <v>385</v>
      </c>
      <c r="F133" s="332" t="s">
        <v>386</v>
      </c>
      <c r="H133" s="329" t="s">
        <v>382</v>
      </c>
      <c r="I133" s="331" t="s">
        <v>291</v>
      </c>
      <c r="J133" s="331" t="s">
        <v>383</v>
      </c>
      <c r="K133" s="331"/>
      <c r="L133" s="330" t="s">
        <v>385</v>
      </c>
      <c r="M133" s="334" t="s">
        <v>408</v>
      </c>
    </row>
    <row r="134" spans="1:21">
      <c r="A134" s="82"/>
      <c r="B134" s="82"/>
      <c r="C134" s="82"/>
      <c r="D134" s="82"/>
      <c r="E134" s="82"/>
      <c r="F134" s="82"/>
      <c r="H134" s="82"/>
      <c r="I134" s="82"/>
      <c r="J134" s="82"/>
      <c r="K134" s="82"/>
      <c r="L134" s="82"/>
      <c r="M134" s="82"/>
    </row>
    <row r="135" spans="1:21" ht="15">
      <c r="A135" s="136" t="s">
        <v>427</v>
      </c>
      <c r="B135" s="78">
        <v>1</v>
      </c>
      <c r="C135" s="78">
        <v>1.3</v>
      </c>
      <c r="D135" s="78">
        <v>0.3</v>
      </c>
      <c r="E135" s="78">
        <f>E131</f>
        <v>1.85</v>
      </c>
      <c r="F135" s="79">
        <f>E135*D135*C135*B135</f>
        <v>0.72150000000000014</v>
      </c>
      <c r="H135" s="123" t="str">
        <f t="shared" ref="H135" si="51">A135</f>
        <v>300mm tk Starter</v>
      </c>
      <c r="I135" s="78">
        <f t="shared" ref="I135" si="52">B135</f>
        <v>1</v>
      </c>
      <c r="J135" s="78">
        <f t="shared" ref="J135" si="53">2*(C135+D135)</f>
        <v>3.2</v>
      </c>
      <c r="K135" s="78"/>
      <c r="L135" s="78">
        <f>M131</f>
        <v>1.85</v>
      </c>
      <c r="M135" s="79">
        <f>L135*J135*I135</f>
        <v>5.9200000000000008</v>
      </c>
    </row>
    <row r="136" spans="1:21" ht="15.75" thickBot="1">
      <c r="A136" s="123"/>
      <c r="B136" s="78"/>
      <c r="C136" s="78"/>
      <c r="D136" s="78"/>
      <c r="E136" s="78"/>
      <c r="F136" s="79"/>
      <c r="H136" s="124"/>
      <c r="I136" s="80"/>
      <c r="J136" s="80"/>
      <c r="K136" s="80"/>
      <c r="L136" s="80"/>
      <c r="M136" s="81"/>
    </row>
    <row r="137" spans="1:21" ht="13.5" thickBot="1">
      <c r="A137" s="921" t="s">
        <v>393</v>
      </c>
      <c r="B137" s="922"/>
      <c r="C137" s="922"/>
      <c r="D137" s="922"/>
      <c r="E137" s="923"/>
      <c r="F137" s="111">
        <f>SUM(F134:F136)</f>
        <v>0.72150000000000014</v>
      </c>
      <c r="H137" s="921" t="s">
        <v>393</v>
      </c>
      <c r="I137" s="922"/>
      <c r="J137" s="922"/>
      <c r="K137" s="922"/>
      <c r="L137" s="923"/>
      <c r="M137" s="111">
        <f>SUM(M134:M136)</f>
        <v>5.9200000000000008</v>
      </c>
    </row>
    <row r="138" spans="1:21" ht="15.75" thickBot="1">
      <c r="A138" s="102"/>
    </row>
    <row r="139" spans="1:21" ht="15.75" thickBot="1">
      <c r="A139" s="328" t="s">
        <v>428</v>
      </c>
      <c r="B139" s="469">
        <f>B4-F146</f>
        <v>-3.4796249999999986</v>
      </c>
      <c r="C139" s="95" t="s">
        <v>66</v>
      </c>
      <c r="P139" s="581"/>
      <c r="Q139" s="582"/>
      <c r="R139" s="583"/>
      <c r="S139" s="946"/>
      <c r="T139" s="946"/>
    </row>
    <row r="140" spans="1:21" ht="15.75" thickBot="1">
      <c r="A140" s="102"/>
      <c r="P140" s="584"/>
      <c r="Q140" s="584"/>
      <c r="R140" s="584"/>
      <c r="S140" s="584"/>
      <c r="T140" s="584"/>
    </row>
    <row r="141" spans="1:21" ht="13.5" thickBot="1">
      <c r="A141" s="329" t="s">
        <v>382</v>
      </c>
      <c r="B141" s="331" t="s">
        <v>291</v>
      </c>
      <c r="C141" s="331" t="s">
        <v>383</v>
      </c>
      <c r="D141" s="331" t="s">
        <v>384</v>
      </c>
      <c r="E141" s="331" t="s">
        <v>385</v>
      </c>
      <c r="F141" s="332" t="s">
        <v>386</v>
      </c>
      <c r="P141" s="585"/>
      <c r="Q141" s="585"/>
      <c r="R141" s="585"/>
      <c r="S141" s="585"/>
      <c r="T141" s="585"/>
    </row>
    <row r="142" spans="1:21">
      <c r="A142" s="82"/>
      <c r="B142" s="82"/>
      <c r="C142" s="82"/>
      <c r="D142" s="82"/>
      <c r="E142" s="82"/>
      <c r="F142" s="82"/>
      <c r="P142" s="584"/>
      <c r="Q142" s="584"/>
      <c r="R142" s="584"/>
      <c r="S142" s="584"/>
      <c r="T142" s="584"/>
    </row>
    <row r="143" spans="1:21" ht="15">
      <c r="A143" s="136" t="s">
        <v>429</v>
      </c>
      <c r="B143" s="78">
        <v>1</v>
      </c>
      <c r="C143" s="78">
        <v>0</v>
      </c>
      <c r="D143" s="78">
        <v>0</v>
      </c>
      <c r="E143" s="78">
        <v>0</v>
      </c>
      <c r="F143" s="79">
        <f>B53</f>
        <v>14.520375</v>
      </c>
      <c r="P143" s="941"/>
      <c r="Q143" s="941"/>
      <c r="R143" s="941"/>
      <c r="S143" s="941"/>
      <c r="T143" s="586"/>
    </row>
    <row r="144" spans="1:21" ht="15">
      <c r="A144" s="136" t="s">
        <v>430</v>
      </c>
      <c r="B144" s="78">
        <v>1</v>
      </c>
      <c r="C144" s="78">
        <v>0</v>
      </c>
      <c r="D144" s="78">
        <v>0</v>
      </c>
      <c r="E144" s="78">
        <v>0</v>
      </c>
      <c r="F144" s="79">
        <f>B54</f>
        <v>17.7881</v>
      </c>
    </row>
    <row r="145" spans="1:20" ht="15.75" thickBot="1">
      <c r="A145" s="136" t="s">
        <v>73</v>
      </c>
      <c r="B145" s="78">
        <v>1</v>
      </c>
      <c r="C145" s="78">
        <v>0</v>
      </c>
      <c r="D145" s="78">
        <v>0</v>
      </c>
      <c r="E145" s="78">
        <v>0</v>
      </c>
      <c r="F145" s="79">
        <f>B121</f>
        <v>1.8315000000000001</v>
      </c>
    </row>
    <row r="146" spans="1:20" ht="13.5" thickBot="1">
      <c r="A146" s="921" t="s">
        <v>393</v>
      </c>
      <c r="B146" s="922"/>
      <c r="C146" s="922"/>
      <c r="D146" s="922"/>
      <c r="E146" s="923"/>
      <c r="F146" s="111">
        <f>SUM(F143:F145)</f>
        <v>34.139975</v>
      </c>
    </row>
    <row r="147" spans="1:20" ht="15">
      <c r="A147" s="136"/>
      <c r="B147" s="78"/>
      <c r="C147" s="78"/>
      <c r="D147" s="78"/>
      <c r="E147" s="78"/>
      <c r="F147" s="79"/>
    </row>
    <row r="148" spans="1:20" ht="15">
      <c r="A148" s="136" t="s">
        <v>431</v>
      </c>
      <c r="B148" s="78">
        <v>0</v>
      </c>
      <c r="C148" s="78">
        <v>0</v>
      </c>
      <c r="D148" s="78">
        <v>0</v>
      </c>
      <c r="E148" s="78">
        <v>0</v>
      </c>
      <c r="F148" s="79">
        <f>B148*C148*E148</f>
        <v>0</v>
      </c>
    </row>
    <row r="149" spans="1:20" ht="15.75" thickBot="1">
      <c r="A149" s="123"/>
      <c r="B149" s="78"/>
      <c r="C149" s="78"/>
      <c r="D149" s="78"/>
      <c r="E149" s="78"/>
      <c r="F149" s="79"/>
    </row>
    <row r="150" spans="1:20" ht="13.5" thickBot="1">
      <c r="A150" s="921" t="s">
        <v>393</v>
      </c>
      <c r="B150" s="922"/>
      <c r="C150" s="922"/>
      <c r="D150" s="922"/>
      <c r="E150" s="923"/>
      <c r="F150" s="111">
        <f>F148</f>
        <v>0</v>
      </c>
    </row>
    <row r="151" spans="1:20" ht="15.75" thickBot="1">
      <c r="A151" s="102"/>
    </row>
    <row r="152" spans="1:20" ht="15.75" thickBot="1">
      <c r="A152" s="328" t="s">
        <v>432</v>
      </c>
      <c r="B152" s="469">
        <f>F158</f>
        <v>15.877408000000004</v>
      </c>
      <c r="C152" s="95" t="s">
        <v>66</v>
      </c>
      <c r="P152" s="328" t="str">
        <f>A152</f>
        <v>GRADE SLAB</v>
      </c>
      <c r="Q152" s="469">
        <f>T157</f>
        <v>158.77408000000003</v>
      </c>
      <c r="R152" s="122" t="s">
        <v>84</v>
      </c>
      <c r="S152" s="944" t="s">
        <v>433</v>
      </c>
      <c r="T152" s="945"/>
    </row>
    <row r="153" spans="1:20" ht="13.5" thickBot="1"/>
    <row r="154" spans="1:20" ht="13.5" thickBot="1">
      <c r="A154" s="329" t="s">
        <v>382</v>
      </c>
      <c r="B154" s="330" t="s">
        <v>291</v>
      </c>
      <c r="C154" s="330" t="s">
        <v>383</v>
      </c>
      <c r="D154" s="331" t="s">
        <v>384</v>
      </c>
      <c r="E154" s="331" t="s">
        <v>385</v>
      </c>
      <c r="F154" s="332" t="s">
        <v>386</v>
      </c>
      <c r="P154" s="329" t="s">
        <v>382</v>
      </c>
      <c r="Q154" s="331" t="s">
        <v>291</v>
      </c>
      <c r="R154" s="331" t="s">
        <v>409</v>
      </c>
      <c r="S154" s="330" t="s">
        <v>385</v>
      </c>
      <c r="T154" s="334" t="s">
        <v>408</v>
      </c>
    </row>
    <row r="155" spans="1:20">
      <c r="A155" s="82"/>
      <c r="B155" s="82"/>
      <c r="C155" s="82"/>
      <c r="D155" s="82"/>
      <c r="E155" s="82"/>
      <c r="F155" s="82"/>
      <c r="P155" s="82"/>
      <c r="Q155" s="82"/>
      <c r="R155" s="82"/>
      <c r="S155" s="82"/>
      <c r="T155" s="82"/>
    </row>
    <row r="156" spans="1:20" ht="15.75" thickBot="1">
      <c r="A156" s="72" t="s">
        <v>434</v>
      </c>
      <c r="B156" s="78">
        <v>1</v>
      </c>
      <c r="C156" s="78">
        <v>13.24</v>
      </c>
      <c r="D156" s="78">
        <v>11.992000000000001</v>
      </c>
      <c r="E156" s="78">
        <v>0.1</v>
      </c>
      <c r="F156" s="79">
        <f>E156*D156*C156*B156</f>
        <v>15.877408000000004</v>
      </c>
      <c r="P156" s="123" t="str">
        <f>A156</f>
        <v>Grade Slab</v>
      </c>
      <c r="Q156" s="78">
        <f>B156</f>
        <v>1</v>
      </c>
      <c r="R156" s="78">
        <f>C156*D156</f>
        <v>158.77408000000003</v>
      </c>
      <c r="S156" s="78">
        <f>L156</f>
        <v>0</v>
      </c>
      <c r="T156" s="79">
        <f>R156*Q156</f>
        <v>158.77408000000003</v>
      </c>
    </row>
    <row r="157" spans="1:20" ht="15.75" thickBot="1">
      <c r="A157" s="72"/>
      <c r="B157" s="78"/>
      <c r="C157" s="78"/>
      <c r="D157" s="78"/>
      <c r="E157" s="78"/>
      <c r="F157" s="79"/>
      <c r="P157" s="921" t="s">
        <v>393</v>
      </c>
      <c r="Q157" s="924"/>
      <c r="R157" s="924"/>
      <c r="S157" s="925"/>
      <c r="T157" s="111">
        <f>SUM(T152:T156)</f>
        <v>158.77408000000003</v>
      </c>
    </row>
    <row r="158" spans="1:20" ht="13.5" thickBot="1">
      <c r="A158" s="921" t="s">
        <v>393</v>
      </c>
      <c r="B158" s="922"/>
      <c r="C158" s="922"/>
      <c r="D158" s="922"/>
      <c r="E158" s="923"/>
      <c r="F158" s="111">
        <f>F156</f>
        <v>15.877408000000004</v>
      </c>
    </row>
    <row r="159" spans="1:20" ht="15">
      <c r="A159" s="102"/>
    </row>
    <row r="160" spans="1:20" ht="15">
      <c r="A160" s="102"/>
    </row>
    <row r="161" spans="1:21" ht="15">
      <c r="A161" s="102"/>
    </row>
    <row r="162" spans="1:21" ht="15.75" thickBot="1">
      <c r="A162" s="102"/>
      <c r="O162" s="951" t="s">
        <v>435</v>
      </c>
      <c r="P162" s="952"/>
      <c r="Q162" s="952"/>
      <c r="R162" s="952"/>
      <c r="S162" s="953"/>
    </row>
    <row r="163" spans="1:21" ht="15.75" thickBot="1">
      <c r="A163" s="587" t="s">
        <v>436</v>
      </c>
    </row>
    <row r="164" spans="1:21" ht="15.75" thickBot="1">
      <c r="A164" s="328" t="s">
        <v>421</v>
      </c>
      <c r="B164" s="471">
        <f>F172</f>
        <v>2.97</v>
      </c>
      <c r="C164" s="95" t="s">
        <v>66</v>
      </c>
      <c r="D164" s="451" t="s">
        <v>385</v>
      </c>
      <c r="E164" s="459">
        <v>3</v>
      </c>
      <c r="F164" s="121" t="s">
        <v>422</v>
      </c>
      <c r="H164" s="328" t="str">
        <f>A164</f>
        <v>COLUMN</v>
      </c>
      <c r="I164" s="472">
        <f>M172</f>
        <v>48.9</v>
      </c>
      <c r="J164" s="130" t="s">
        <v>84</v>
      </c>
      <c r="K164" s="130"/>
      <c r="L164" s="462" t="s">
        <v>385</v>
      </c>
      <c r="M164" s="452">
        <f>E164</f>
        <v>3</v>
      </c>
      <c r="N164" s="126" t="s">
        <v>422</v>
      </c>
      <c r="O164" s="328" t="str">
        <f>H164</f>
        <v>COLUMN</v>
      </c>
      <c r="P164" s="472">
        <f>S172</f>
        <v>5.41</v>
      </c>
      <c r="Q164" s="130" t="s">
        <v>84</v>
      </c>
      <c r="R164" s="653"/>
      <c r="S164" s="134"/>
      <c r="T164" s="654"/>
      <c r="U164" s="106"/>
    </row>
    <row r="165" spans="1:21" ht="13.5" thickBot="1"/>
    <row r="166" spans="1:21" s="127" customFormat="1" ht="16.5" customHeight="1" thickBot="1">
      <c r="A166" s="463" t="s">
        <v>382</v>
      </c>
      <c r="B166" s="464" t="s">
        <v>291</v>
      </c>
      <c r="C166" s="464" t="s">
        <v>383</v>
      </c>
      <c r="D166" s="464" t="s">
        <v>384</v>
      </c>
      <c r="E166" s="464" t="s">
        <v>385</v>
      </c>
      <c r="F166" s="465" t="s">
        <v>386</v>
      </c>
      <c r="H166" s="463" t="s">
        <v>382</v>
      </c>
      <c r="I166" s="464" t="s">
        <v>291</v>
      </c>
      <c r="J166" s="466" t="s">
        <v>410</v>
      </c>
      <c r="K166" s="464"/>
      <c r="L166" s="466" t="s">
        <v>385</v>
      </c>
      <c r="M166" s="467" t="s">
        <v>408</v>
      </c>
      <c r="O166" s="463" t="s">
        <v>382</v>
      </c>
      <c r="P166" s="464" t="s">
        <v>291</v>
      </c>
      <c r="Q166" s="466" t="s">
        <v>437</v>
      </c>
      <c r="R166" s="651" t="s">
        <v>384</v>
      </c>
      <c r="S166" s="652" t="s">
        <v>408</v>
      </c>
      <c r="T166" s="650"/>
    </row>
    <row r="167" spans="1:21">
      <c r="A167" s="82"/>
      <c r="B167" s="82"/>
      <c r="C167" s="82"/>
      <c r="D167" s="82"/>
      <c r="E167" s="82"/>
      <c r="F167" s="82"/>
      <c r="H167" s="82"/>
      <c r="I167" s="82"/>
      <c r="J167" s="82"/>
      <c r="K167" s="82"/>
      <c r="L167" s="82"/>
      <c r="M167" s="82"/>
      <c r="O167" s="82"/>
      <c r="P167" s="82"/>
      <c r="Q167" s="82"/>
      <c r="R167" s="213"/>
      <c r="S167" s="82"/>
      <c r="T167" s="74"/>
    </row>
    <row r="168" spans="1:21" ht="15">
      <c r="A168" s="123" t="s">
        <v>423</v>
      </c>
      <c r="B168" s="78">
        <v>3</v>
      </c>
      <c r="C168" s="78">
        <v>0.35</v>
      </c>
      <c r="D168" s="78">
        <v>0.2</v>
      </c>
      <c r="E168" s="78">
        <f>E164</f>
        <v>3</v>
      </c>
      <c r="F168" s="79">
        <f>E168*D168*C168*B168</f>
        <v>0.63000000000000012</v>
      </c>
      <c r="H168" s="123" t="str">
        <f t="shared" ref="H168:H170" si="54">A168</f>
        <v>C1</v>
      </c>
      <c r="I168" s="78">
        <f t="shared" ref="I168:I170" si="55">B168</f>
        <v>3</v>
      </c>
      <c r="J168" s="78">
        <f t="shared" ref="J168:J170" si="56">2*(C168+D168)</f>
        <v>1.1000000000000001</v>
      </c>
      <c r="K168" s="78"/>
      <c r="L168" s="78">
        <f>M164</f>
        <v>3</v>
      </c>
      <c r="M168" s="79">
        <f>L168*J168*I168</f>
        <v>9.9</v>
      </c>
      <c r="O168" s="123" t="str">
        <f t="shared" ref="O168:O170" si="57">H168</f>
        <v>C1</v>
      </c>
      <c r="P168" s="78">
        <f>I168</f>
        <v>3</v>
      </c>
      <c r="Q168" s="78">
        <f>C168</f>
        <v>0.35</v>
      </c>
      <c r="R168" s="74">
        <f>D168</f>
        <v>0.2</v>
      </c>
      <c r="S168" s="79">
        <f>P168*Q168*R168</f>
        <v>0.20999999999999996</v>
      </c>
      <c r="T168" s="576"/>
    </row>
    <row r="169" spans="1:21" ht="15">
      <c r="A169" s="123" t="s">
        <v>424</v>
      </c>
      <c r="B169" s="78">
        <v>4</v>
      </c>
      <c r="C169" s="78">
        <v>0.3</v>
      </c>
      <c r="D169" s="78">
        <v>0.2</v>
      </c>
      <c r="E169" s="78">
        <f>E164</f>
        <v>3</v>
      </c>
      <c r="F169" s="79">
        <f>E169*D169*C169*B169</f>
        <v>0.72000000000000008</v>
      </c>
      <c r="H169" s="123" t="str">
        <f t="shared" si="54"/>
        <v>C2</v>
      </c>
      <c r="I169" s="78">
        <f t="shared" si="55"/>
        <v>4</v>
      </c>
      <c r="J169" s="78">
        <f t="shared" si="56"/>
        <v>1</v>
      </c>
      <c r="K169" s="78"/>
      <c r="L169" s="78">
        <f>M164</f>
        <v>3</v>
      </c>
      <c r="M169" s="79">
        <f>L169*J169*I169</f>
        <v>12</v>
      </c>
      <c r="O169" s="123" t="str">
        <f t="shared" si="57"/>
        <v>C2</v>
      </c>
      <c r="P169" s="78">
        <f>I169</f>
        <v>4</v>
      </c>
      <c r="Q169" s="78">
        <f t="shared" ref="Q169:Q170" si="58">2*(J169+K169)</f>
        <v>2</v>
      </c>
      <c r="R169" s="74">
        <f t="shared" ref="R169:R170" si="59">D169</f>
        <v>0.2</v>
      </c>
      <c r="S169" s="79">
        <f>P169*Q169*R169</f>
        <v>1.6</v>
      </c>
      <c r="T169" s="576"/>
    </row>
    <row r="170" spans="1:21" ht="15">
      <c r="A170" s="123" t="s">
        <v>425</v>
      </c>
      <c r="B170" s="78">
        <v>9</v>
      </c>
      <c r="C170" s="78">
        <v>0.3</v>
      </c>
      <c r="D170" s="78">
        <v>0.2</v>
      </c>
      <c r="E170" s="78">
        <f>E164</f>
        <v>3</v>
      </c>
      <c r="F170" s="79">
        <f>E170*D170*C170*B170</f>
        <v>1.62</v>
      </c>
      <c r="H170" s="123" t="str">
        <f t="shared" si="54"/>
        <v>C3</v>
      </c>
      <c r="I170" s="78">
        <f t="shared" si="55"/>
        <v>9</v>
      </c>
      <c r="J170" s="78">
        <f t="shared" si="56"/>
        <v>1</v>
      </c>
      <c r="K170" s="78"/>
      <c r="L170" s="78">
        <f>M164</f>
        <v>3</v>
      </c>
      <c r="M170" s="79">
        <f>L170*J170*I170</f>
        <v>27</v>
      </c>
      <c r="O170" s="123" t="str">
        <f t="shared" si="57"/>
        <v>C3</v>
      </c>
      <c r="P170" s="78">
        <f>I170</f>
        <v>9</v>
      </c>
      <c r="Q170" s="78">
        <f t="shared" si="58"/>
        <v>2</v>
      </c>
      <c r="R170" s="74">
        <f t="shared" si="59"/>
        <v>0.2</v>
      </c>
      <c r="S170" s="79">
        <f>P170*Q170*R170</f>
        <v>3.6</v>
      </c>
      <c r="T170" s="576"/>
    </row>
    <row r="171" spans="1:21" ht="15.75" thickBot="1">
      <c r="A171" s="123"/>
      <c r="B171" s="78"/>
      <c r="C171" s="78"/>
      <c r="D171" s="78"/>
      <c r="E171" s="78"/>
      <c r="F171" s="79"/>
      <c r="H171" s="124"/>
      <c r="I171" s="80"/>
      <c r="J171" s="80"/>
      <c r="K171" s="80"/>
      <c r="L171" s="80"/>
      <c r="M171" s="81"/>
      <c r="O171" s="124"/>
      <c r="P171" s="80"/>
      <c r="Q171" s="80"/>
      <c r="R171" s="219"/>
      <c r="S171" s="81"/>
      <c r="T171" s="576"/>
    </row>
    <row r="172" spans="1:21" ht="13.5" thickBot="1">
      <c r="A172" s="921" t="s">
        <v>393</v>
      </c>
      <c r="B172" s="922"/>
      <c r="C172" s="922"/>
      <c r="D172" s="922"/>
      <c r="E172" s="923"/>
      <c r="F172" s="111">
        <f>SUM(F167:F171)</f>
        <v>2.97</v>
      </c>
      <c r="H172" s="921" t="s">
        <v>393</v>
      </c>
      <c r="I172" s="922"/>
      <c r="J172" s="922"/>
      <c r="K172" s="922"/>
      <c r="L172" s="923"/>
      <c r="M172" s="111">
        <f>SUM(M167:M171)</f>
        <v>48.9</v>
      </c>
      <c r="O172" s="921" t="s">
        <v>393</v>
      </c>
      <c r="P172" s="924"/>
      <c r="Q172" s="924"/>
      <c r="R172" s="925"/>
      <c r="S172" s="111">
        <f>SUM(S167:S171)</f>
        <v>5.41</v>
      </c>
      <c r="T172" s="260"/>
    </row>
    <row r="173" spans="1:21">
      <c r="A173" s="134"/>
      <c r="B173" s="135"/>
      <c r="C173" s="135"/>
      <c r="D173" s="135"/>
      <c r="E173" s="135"/>
      <c r="F173" s="101"/>
      <c r="H173" s="134"/>
      <c r="I173" s="135"/>
      <c r="J173" s="135"/>
      <c r="K173" s="135"/>
      <c r="L173" s="135"/>
      <c r="M173" s="101"/>
    </row>
    <row r="174" spans="1:21" ht="13.5" thickBot="1">
      <c r="A174" s="134"/>
      <c r="B174" s="135"/>
      <c r="C174" s="135"/>
      <c r="D174" s="135"/>
      <c r="E174" s="135"/>
      <c r="F174" s="101"/>
      <c r="H174" s="134"/>
      <c r="I174" s="135"/>
      <c r="J174" s="135"/>
      <c r="K174" s="135"/>
      <c r="L174" s="135"/>
      <c r="M174" s="101"/>
    </row>
    <row r="175" spans="1:21" ht="15.75" thickBot="1">
      <c r="A175" s="594" t="s">
        <v>438</v>
      </c>
      <c r="B175" s="469">
        <f>E181</f>
        <v>7.0745600000000017</v>
      </c>
      <c r="C175" s="95" t="s">
        <v>66</v>
      </c>
      <c r="H175" s="328" t="str">
        <f>A175</f>
        <v>ATTACHED BEAMS</v>
      </c>
      <c r="I175" s="469">
        <f>L181</f>
        <v>88.432000000000002</v>
      </c>
      <c r="J175" s="95" t="s">
        <v>84</v>
      </c>
      <c r="K175" s="211"/>
      <c r="O175" s="328" t="str">
        <f>H175</f>
        <v>ATTACHED BEAMS</v>
      </c>
      <c r="P175" s="472">
        <f>S181</f>
        <v>17.686400000000003</v>
      </c>
      <c r="Q175" s="130" t="s">
        <v>84</v>
      </c>
      <c r="R175" s="653"/>
      <c r="S175" s="134"/>
    </row>
    <row r="176" spans="1:21" ht="13.5" thickBot="1"/>
    <row r="177" spans="1:22" ht="13.5" thickBot="1">
      <c r="A177" s="329" t="s">
        <v>382</v>
      </c>
      <c r="B177" s="331" t="s">
        <v>383</v>
      </c>
      <c r="C177" s="331" t="s">
        <v>384</v>
      </c>
      <c r="D177" s="331" t="s">
        <v>385</v>
      </c>
      <c r="E177" s="332" t="s">
        <v>386</v>
      </c>
      <c r="H177" s="329" t="s">
        <v>382</v>
      </c>
      <c r="I177" s="331" t="s">
        <v>383</v>
      </c>
      <c r="J177" s="331" t="s">
        <v>384</v>
      </c>
      <c r="K177" s="468"/>
      <c r="L177" s="332" t="s">
        <v>387</v>
      </c>
      <c r="O177" s="463" t="s">
        <v>382</v>
      </c>
      <c r="P177" s="464" t="s">
        <v>291</v>
      </c>
      <c r="Q177" s="464" t="s">
        <v>383</v>
      </c>
      <c r="R177" s="651" t="s">
        <v>384</v>
      </c>
      <c r="S177" s="652" t="s">
        <v>408</v>
      </c>
    </row>
    <row r="178" spans="1:22">
      <c r="A178" s="82"/>
      <c r="B178" s="82"/>
      <c r="C178" s="82"/>
      <c r="D178" s="82"/>
      <c r="E178" s="82"/>
      <c r="H178" s="82"/>
      <c r="I178" s="82"/>
      <c r="J178" s="82"/>
      <c r="K178" s="82"/>
      <c r="L178" s="82"/>
      <c r="O178" s="82"/>
      <c r="P178" s="82"/>
      <c r="Q178" s="82"/>
      <c r="R178" s="213"/>
      <c r="S178" s="82"/>
    </row>
    <row r="179" spans="1:22" ht="15">
      <c r="A179" s="136" t="s">
        <v>439</v>
      </c>
      <c r="B179" s="78">
        <f>N184</f>
        <v>88.432000000000002</v>
      </c>
      <c r="C179" s="78">
        <v>0.2</v>
      </c>
      <c r="D179" s="78">
        <v>0.4</v>
      </c>
      <c r="E179" s="79">
        <f>D179*C179*B179</f>
        <v>7.0745600000000017</v>
      </c>
      <c r="H179" s="123" t="str">
        <f t="shared" ref="H179:I179" si="60">A179</f>
        <v>B1, B2, B3 &amp; B4</v>
      </c>
      <c r="I179" s="78">
        <f t="shared" si="60"/>
        <v>88.432000000000002</v>
      </c>
      <c r="J179" s="78">
        <f>C179+D179+D179</f>
        <v>1</v>
      </c>
      <c r="K179" s="78"/>
      <c r="L179" s="79">
        <f>J179*I179</f>
        <v>88.432000000000002</v>
      </c>
      <c r="O179" s="123" t="str">
        <f t="shared" ref="O179" si="61">H179</f>
        <v>B1, B2, B3 &amp; B4</v>
      </c>
      <c r="P179" s="78">
        <v>1</v>
      </c>
      <c r="Q179" s="78">
        <f>I179</f>
        <v>88.432000000000002</v>
      </c>
      <c r="R179" s="78">
        <f>C179</f>
        <v>0.2</v>
      </c>
      <c r="S179" s="79">
        <f>R179*Q179*P179</f>
        <v>17.686400000000003</v>
      </c>
    </row>
    <row r="180" spans="1:22" ht="15.75" thickBot="1">
      <c r="A180" s="137"/>
      <c r="B180" s="80"/>
      <c r="C180" s="80"/>
      <c r="D180" s="80"/>
      <c r="E180" s="81"/>
      <c r="H180" s="124"/>
      <c r="I180" s="80"/>
      <c r="J180" s="80"/>
      <c r="K180" s="80"/>
      <c r="L180" s="81"/>
      <c r="O180" s="81"/>
      <c r="P180" s="80"/>
      <c r="Q180" s="80"/>
      <c r="R180" s="80"/>
      <c r="S180" s="80"/>
    </row>
    <row r="181" spans="1:22" ht="13.5" thickBot="1">
      <c r="A181" s="921" t="s">
        <v>393</v>
      </c>
      <c r="B181" s="922"/>
      <c r="C181" s="922"/>
      <c r="D181" s="923"/>
      <c r="E181" s="111">
        <f>SUM(E178:E180)</f>
        <v>7.0745600000000017</v>
      </c>
      <c r="H181" s="921" t="s">
        <v>393</v>
      </c>
      <c r="I181" s="922"/>
      <c r="J181" s="923"/>
      <c r="K181" s="205"/>
      <c r="L181" s="111">
        <f>SUM(L178:L180)</f>
        <v>88.432000000000002</v>
      </c>
      <c r="O181" s="921" t="s">
        <v>393</v>
      </c>
      <c r="P181" s="924"/>
      <c r="Q181" s="924"/>
      <c r="R181" s="925"/>
      <c r="S181" s="111">
        <f>SUM(S177:S180)</f>
        <v>17.686400000000003</v>
      </c>
    </row>
    <row r="182" spans="1:22" ht="15.75" thickBot="1">
      <c r="A182" s="102"/>
      <c r="F182" s="102"/>
      <c r="G182" s="99"/>
    </row>
    <row r="183" spans="1:22">
      <c r="A183" s="336" t="s">
        <v>440</v>
      </c>
    </row>
    <row r="184" spans="1:22">
      <c r="A184" s="103" t="str">
        <f>A179</f>
        <v>B1, B2, B3 &amp; B4</v>
      </c>
      <c r="B184" s="100">
        <v>18.495000000000001</v>
      </c>
      <c r="C184" s="100">
        <f>4.445+4.556+(3*4.262)+5.695+4.495</f>
        <v>31.977</v>
      </c>
      <c r="D184" s="100">
        <f>4.556+1</f>
        <v>5.556</v>
      </c>
      <c r="E184" s="100">
        <f>(2*4.556)+(2*4.445)+4.262+(2*4.095)+1.95</f>
        <v>32.404000000000003</v>
      </c>
      <c r="F184" s="100"/>
      <c r="G184" s="100"/>
      <c r="H184" s="100"/>
      <c r="I184" s="100"/>
      <c r="J184" s="100"/>
      <c r="K184" s="100"/>
      <c r="L184" s="100"/>
      <c r="M184" s="100"/>
      <c r="N184" s="649">
        <f>SUM(B184:M184)</f>
        <v>88.432000000000002</v>
      </c>
      <c r="O184" s="655"/>
      <c r="P184" s="656"/>
      <c r="Q184" s="656"/>
      <c r="R184" s="656"/>
      <c r="S184" s="656"/>
      <c r="T184" s="656"/>
      <c r="U184" s="657"/>
      <c r="V184" s="101"/>
    </row>
    <row r="185" spans="1:22" ht="15">
      <c r="A185" s="322"/>
      <c r="N185" s="760"/>
      <c r="U185" s="101"/>
      <c r="V185" s="101"/>
    </row>
    <row r="186" spans="1:22" ht="13.5" thickBot="1"/>
    <row r="187" spans="1:22" ht="15.75" thickBot="1">
      <c r="A187" s="461" t="s">
        <v>441</v>
      </c>
      <c r="B187" s="469">
        <f>D194-D199</f>
        <v>18.231171884999998</v>
      </c>
      <c r="C187" s="95" t="s">
        <v>66</v>
      </c>
      <c r="D187" s="659"/>
      <c r="H187" s="328" t="str">
        <f>A187</f>
        <v>SLAB</v>
      </c>
      <c r="I187" s="469">
        <f>L194-L199</f>
        <v>-8.6951600000000013</v>
      </c>
      <c r="J187" s="95" t="s">
        <v>84</v>
      </c>
      <c r="K187" s="211"/>
      <c r="M187" s="664"/>
    </row>
    <row r="188" spans="1:22" ht="13.5" thickBot="1"/>
    <row r="189" spans="1:22" ht="13.5" thickBot="1">
      <c r="A189" s="329" t="s">
        <v>382</v>
      </c>
      <c r="B189" s="331" t="s">
        <v>409</v>
      </c>
      <c r="C189" s="331" t="s">
        <v>385</v>
      </c>
      <c r="D189" s="331" t="s">
        <v>386</v>
      </c>
      <c r="H189" s="329" t="s">
        <v>382</v>
      </c>
      <c r="I189" s="331" t="s">
        <v>383</v>
      </c>
      <c r="J189" s="330" t="s">
        <v>442</v>
      </c>
      <c r="K189" s="468"/>
      <c r="L189" s="332" t="s">
        <v>443</v>
      </c>
    </row>
    <row r="190" spans="1:22">
      <c r="A190" s="213"/>
      <c r="B190" s="82"/>
      <c r="C190" s="82"/>
      <c r="D190" s="82"/>
      <c r="H190" s="213"/>
      <c r="I190" s="213"/>
      <c r="J190" s="82"/>
      <c r="K190" s="214"/>
      <c r="L190" s="215"/>
    </row>
    <row r="191" spans="1:22" ht="15">
      <c r="A191" s="323" t="s">
        <v>444</v>
      </c>
      <c r="B191" s="72">
        <f>B203</f>
        <v>151.60981799999999</v>
      </c>
      <c r="C191" s="78">
        <v>0.13500000000000001</v>
      </c>
      <c r="D191" s="79">
        <f>C191*B191</f>
        <v>20.467325429999999</v>
      </c>
      <c r="H191" s="216" t="str">
        <f>A191</f>
        <v>135mm tk Slab</v>
      </c>
      <c r="I191" s="74">
        <f>B191</f>
        <v>151.60981799999999</v>
      </c>
      <c r="J191" s="78">
        <v>0</v>
      </c>
      <c r="K191" s="96"/>
      <c r="L191" s="217">
        <f>I191</f>
        <v>151.60981799999999</v>
      </c>
    </row>
    <row r="192" spans="1:22" ht="15">
      <c r="A192" s="323" t="s">
        <v>445</v>
      </c>
      <c r="B192" s="72">
        <f>B204</f>
        <v>10.97682</v>
      </c>
      <c r="C192" s="78">
        <v>1.4999999999999999E-2</v>
      </c>
      <c r="D192" s="79">
        <f>C192*B192</f>
        <v>0.1646523</v>
      </c>
      <c r="H192" s="216" t="str">
        <f>A192</f>
        <v>150mm tk Slab</v>
      </c>
      <c r="I192" s="74">
        <f>B192</f>
        <v>10.97682</v>
      </c>
      <c r="J192" s="78">
        <v>0</v>
      </c>
      <c r="K192" s="96"/>
      <c r="L192" s="217">
        <f>I192</f>
        <v>10.97682</v>
      </c>
    </row>
    <row r="193" spans="1:22" ht="15.75" thickBot="1">
      <c r="A193" s="323"/>
      <c r="B193" s="78"/>
      <c r="C193" s="78"/>
      <c r="D193" s="79"/>
      <c r="H193" s="323" t="s">
        <v>446</v>
      </c>
      <c r="I193" s="74">
        <f>L210+L211</f>
        <v>60.463999999999999</v>
      </c>
      <c r="J193" s="78">
        <v>0.155</v>
      </c>
      <c r="L193" s="217">
        <f>J193*I193</f>
        <v>9.3719199999999994</v>
      </c>
    </row>
    <row r="194" spans="1:22" ht="15.75" thickBot="1">
      <c r="A194" s="216"/>
      <c r="B194" s="78"/>
      <c r="C194" s="78"/>
      <c r="D194" s="224">
        <f>SUM(D191:D192)</f>
        <v>20.631977729999999</v>
      </c>
      <c r="H194" s="216"/>
      <c r="I194" s="74"/>
      <c r="J194" s="78"/>
      <c r="L194" s="224">
        <f>SUM(L192:L193)</f>
        <v>20.348739999999999</v>
      </c>
    </row>
    <row r="195" spans="1:22" ht="15">
      <c r="A195" s="218" t="s">
        <v>447</v>
      </c>
      <c r="B195" s="78"/>
      <c r="C195" s="78"/>
      <c r="D195" s="217"/>
      <c r="H195" s="218" t="s">
        <v>447</v>
      </c>
      <c r="I195" s="74"/>
      <c r="J195" s="78"/>
      <c r="L195" s="217"/>
    </row>
    <row r="196" spans="1:22" ht="15">
      <c r="A196" s="216" t="s">
        <v>448</v>
      </c>
      <c r="B196" s="72">
        <f>L206</f>
        <v>6.426247</v>
      </c>
      <c r="C196" s="78">
        <v>0.13500000000000001</v>
      </c>
      <c r="D196" s="79">
        <f>C196*B196</f>
        <v>0.86754334500000008</v>
      </c>
      <c r="H196" s="216" t="s">
        <v>449</v>
      </c>
      <c r="I196" s="74">
        <v>1</v>
      </c>
      <c r="J196" s="78">
        <v>0</v>
      </c>
      <c r="L196" s="217">
        <f>J196*I196</f>
        <v>0</v>
      </c>
    </row>
    <row r="197" spans="1:22" ht="15">
      <c r="A197" s="323" t="s">
        <v>450</v>
      </c>
      <c r="B197" s="78">
        <f>L207</f>
        <v>5.9474999999999998</v>
      </c>
      <c r="C197" s="78">
        <v>0.13500000000000001</v>
      </c>
      <c r="D197" s="217">
        <f>C197*B197</f>
        <v>0.80291250000000003</v>
      </c>
      <c r="H197" s="216" t="s">
        <v>451</v>
      </c>
      <c r="I197" s="74">
        <v>1</v>
      </c>
      <c r="J197" s="78">
        <f>B197</f>
        <v>5.9474999999999998</v>
      </c>
      <c r="L197" s="217">
        <f>J197*I197</f>
        <v>5.9474999999999998</v>
      </c>
    </row>
    <row r="198" spans="1:22" ht="15.75" thickBot="1">
      <c r="A198" s="323" t="s">
        <v>452</v>
      </c>
      <c r="B198" s="78">
        <f>P164</f>
        <v>5.41</v>
      </c>
      <c r="C198" s="78">
        <v>0.13500000000000001</v>
      </c>
      <c r="D198" s="217">
        <f>C198*B198</f>
        <v>0.73035000000000005</v>
      </c>
      <c r="H198" s="323" t="s">
        <v>453</v>
      </c>
      <c r="I198" s="74">
        <v>1</v>
      </c>
      <c r="J198" s="78">
        <f>P175+P164</f>
        <v>23.096400000000003</v>
      </c>
      <c r="L198" s="217">
        <f>J198*I198</f>
        <v>23.096400000000003</v>
      </c>
      <c r="M198" s="223"/>
    </row>
    <row r="199" spans="1:22" ht="15.75" thickBot="1">
      <c r="A199" s="216"/>
      <c r="B199" s="78"/>
      <c r="C199" s="78"/>
      <c r="D199" s="224">
        <f>SUM(D196:D198)</f>
        <v>2.4008058450000003</v>
      </c>
      <c r="H199" s="216"/>
      <c r="I199" s="74"/>
      <c r="J199" s="78"/>
      <c r="L199" s="224">
        <f>SUM(L196:L198)</f>
        <v>29.043900000000001</v>
      </c>
    </row>
    <row r="200" spans="1:22" ht="13.5" thickBot="1">
      <c r="A200" s="219"/>
      <c r="B200" s="80"/>
      <c r="C200" s="80"/>
      <c r="D200" s="221"/>
      <c r="H200" s="219"/>
      <c r="I200" s="219"/>
      <c r="J200" s="80"/>
      <c r="K200" s="220"/>
      <c r="L200" s="221"/>
    </row>
    <row r="201" spans="1:22" ht="13.5" thickBot="1"/>
    <row r="202" spans="1:22" ht="13.5" thickBot="1">
      <c r="A202" s="336" t="s">
        <v>454</v>
      </c>
    </row>
    <row r="203" spans="1:22" ht="15.75" thickBot="1">
      <c r="A203" s="103" t="str">
        <f>A191</f>
        <v>135mm tk Slab</v>
      </c>
      <c r="B203" s="100">
        <f>158.77408-10.97682+1.892558+1.92</f>
        <v>151.60981799999999</v>
      </c>
      <c r="C203" s="100">
        <v>0</v>
      </c>
      <c r="D203" s="100">
        <v>0</v>
      </c>
      <c r="E203" s="100">
        <v>0</v>
      </c>
      <c r="F203" s="100">
        <v>0</v>
      </c>
      <c r="G203" s="100">
        <v>0</v>
      </c>
      <c r="H203" s="100">
        <v>0</v>
      </c>
      <c r="I203" s="100">
        <v>0</v>
      </c>
      <c r="J203" s="100">
        <v>0</v>
      </c>
      <c r="K203" s="100"/>
      <c r="L203" s="455">
        <f>SUM(B203:J203)</f>
        <v>151.60981799999999</v>
      </c>
      <c r="M203" s="595"/>
      <c r="N203" s="760"/>
      <c r="V203" s="101"/>
    </row>
    <row r="204" spans="1:22" ht="15">
      <c r="A204" s="103" t="str">
        <f>A192</f>
        <v>150mm tk Slab</v>
      </c>
      <c r="B204" s="100">
        <v>10.97682</v>
      </c>
      <c r="C204" s="100">
        <v>0</v>
      </c>
      <c r="D204" s="100">
        <v>0</v>
      </c>
      <c r="E204" s="100">
        <v>0</v>
      </c>
      <c r="F204" s="100">
        <v>0</v>
      </c>
      <c r="G204" s="100">
        <v>0</v>
      </c>
      <c r="H204" s="100">
        <v>0</v>
      </c>
      <c r="I204" s="100">
        <v>0</v>
      </c>
      <c r="J204" s="100">
        <v>0</v>
      </c>
      <c r="K204" s="100"/>
      <c r="L204" s="455">
        <f>SUM(B204:J204)</f>
        <v>10.97682</v>
      </c>
      <c r="N204" s="760"/>
      <c r="V204" s="101"/>
    </row>
    <row r="205" spans="1:22" ht="15.75" thickBot="1">
      <c r="A205" s="222" t="str">
        <f>A195</f>
        <v>Deduction</v>
      </c>
    </row>
    <row r="206" spans="1:22" ht="15.75" thickBot="1">
      <c r="A206" s="103" t="str">
        <f>A196</f>
        <v>Artium void</v>
      </c>
      <c r="B206" s="100">
        <v>6.426247</v>
      </c>
      <c r="C206" s="100">
        <v>0</v>
      </c>
      <c r="D206" s="100">
        <v>0</v>
      </c>
      <c r="E206" s="100">
        <v>0</v>
      </c>
      <c r="F206" s="100">
        <v>0</v>
      </c>
      <c r="G206" s="100">
        <v>0</v>
      </c>
      <c r="H206" s="100">
        <v>0</v>
      </c>
      <c r="I206" s="100">
        <v>0</v>
      </c>
      <c r="J206" s="100">
        <v>0</v>
      </c>
      <c r="K206" s="100"/>
      <c r="L206" s="455">
        <f>SUM(B206:J206)</f>
        <v>6.426247</v>
      </c>
      <c r="M206" s="595"/>
      <c r="N206" s="760"/>
      <c r="V206" s="101"/>
    </row>
    <row r="207" spans="1:22" ht="15">
      <c r="A207" s="103" t="str">
        <f>A197</f>
        <v>Stair Well &amp; Voids</v>
      </c>
      <c r="B207" s="100">
        <f>3.05*1.95</f>
        <v>5.9474999999999998</v>
      </c>
      <c r="C207" s="100">
        <v>0</v>
      </c>
      <c r="D207" s="100">
        <v>0</v>
      </c>
      <c r="E207" s="100">
        <v>0</v>
      </c>
      <c r="F207" s="100">
        <v>0</v>
      </c>
      <c r="G207" s="100">
        <v>0</v>
      </c>
      <c r="H207" s="100">
        <v>0</v>
      </c>
      <c r="I207" s="100">
        <v>0</v>
      </c>
      <c r="J207" s="100">
        <v>0</v>
      </c>
      <c r="K207" s="100"/>
      <c r="L207" s="455">
        <f>SUM(B207:J207)</f>
        <v>5.9474999999999998</v>
      </c>
      <c r="M207" s="595"/>
      <c r="N207" s="760"/>
      <c r="V207" s="101"/>
    </row>
    <row r="208" spans="1:22" ht="13.5" thickBot="1"/>
    <row r="209" spans="1:22" ht="13.5" thickBot="1">
      <c r="A209" s="336" t="s">
        <v>455</v>
      </c>
    </row>
    <row r="210" spans="1:22" ht="15.75" thickBot="1">
      <c r="A210" s="103" t="s">
        <v>456</v>
      </c>
      <c r="B210" s="661">
        <f>2*(11.992+13.24)</f>
        <v>50.463999999999999</v>
      </c>
      <c r="C210" s="100">
        <v>0</v>
      </c>
      <c r="D210" s="100">
        <v>0</v>
      </c>
      <c r="E210" s="100">
        <v>0</v>
      </c>
      <c r="F210" s="100">
        <v>0</v>
      </c>
      <c r="G210" s="100">
        <v>0</v>
      </c>
      <c r="H210" s="100">
        <v>0</v>
      </c>
      <c r="I210" s="100">
        <v>0</v>
      </c>
      <c r="J210" s="100">
        <v>0</v>
      </c>
      <c r="K210" s="100"/>
      <c r="L210" s="455">
        <f>SUM(B210:J210)</f>
        <v>50.463999999999999</v>
      </c>
      <c r="M210" s="595"/>
      <c r="N210" s="760"/>
      <c r="V210" s="101"/>
    </row>
    <row r="211" spans="1:22" ht="15.75" thickBot="1">
      <c r="A211" s="103" t="s">
        <v>457</v>
      </c>
      <c r="B211" s="100">
        <f>2*(3.05+1.95)</f>
        <v>10</v>
      </c>
      <c r="C211" s="100">
        <v>0</v>
      </c>
      <c r="D211" s="100">
        <v>0</v>
      </c>
      <c r="E211" s="100">
        <v>0</v>
      </c>
      <c r="F211" s="100">
        <v>0</v>
      </c>
      <c r="G211" s="100">
        <v>0</v>
      </c>
      <c r="H211" s="100">
        <v>0</v>
      </c>
      <c r="I211" s="100">
        <v>0</v>
      </c>
      <c r="J211" s="100">
        <v>0</v>
      </c>
      <c r="K211" s="100"/>
      <c r="L211" s="455">
        <f>SUM(B211:J211)</f>
        <v>10</v>
      </c>
      <c r="M211" s="595"/>
      <c r="N211" s="760"/>
      <c r="V211" s="101"/>
    </row>
    <row r="212" spans="1:22" ht="15">
      <c r="A212" s="103" t="s">
        <v>458</v>
      </c>
      <c r="B212" s="100">
        <f>2*(2.65+2.275)</f>
        <v>9.85</v>
      </c>
      <c r="C212" s="100">
        <v>0</v>
      </c>
      <c r="D212" s="100">
        <v>0</v>
      </c>
      <c r="E212" s="100">
        <v>0</v>
      </c>
      <c r="F212" s="100">
        <v>0</v>
      </c>
      <c r="G212" s="100">
        <v>0</v>
      </c>
      <c r="H212" s="100">
        <v>0</v>
      </c>
      <c r="I212" s="100">
        <v>0</v>
      </c>
      <c r="J212" s="100">
        <v>0</v>
      </c>
      <c r="K212" s="100"/>
      <c r="L212" s="455">
        <f>SUM(B212:J212)</f>
        <v>9.85</v>
      </c>
      <c r="M212" s="595"/>
      <c r="N212" s="760"/>
      <c r="V212" s="101"/>
    </row>
    <row r="213" spans="1:22" ht="13.5" thickBot="1"/>
    <row r="214" spans="1:22" ht="15.75" thickBot="1">
      <c r="A214" s="461" t="s">
        <v>459</v>
      </c>
      <c r="B214" s="469">
        <f>E225</f>
        <v>1.6418800000000002</v>
      </c>
      <c r="C214" s="95" t="s">
        <v>66</v>
      </c>
      <c r="D214" s="662"/>
      <c r="E214" s="662"/>
    </row>
    <row r="215" spans="1:22" ht="13.5" thickBot="1"/>
    <row r="216" spans="1:22" ht="13.5" thickBot="1">
      <c r="A216" s="329" t="s">
        <v>382</v>
      </c>
      <c r="B216" s="331" t="s">
        <v>383</v>
      </c>
      <c r="C216" s="331" t="s">
        <v>384</v>
      </c>
      <c r="D216" s="573" t="s">
        <v>460</v>
      </c>
      <c r="E216" s="458" t="s">
        <v>386</v>
      </c>
    </row>
    <row r="217" spans="1:22">
      <c r="A217" s="82"/>
      <c r="B217" s="82"/>
      <c r="C217" s="82"/>
      <c r="D217" s="82"/>
      <c r="E217" s="82"/>
    </row>
    <row r="218" spans="1:22" ht="15">
      <c r="A218" s="136" t="s">
        <v>461</v>
      </c>
      <c r="B218" s="78">
        <v>2.2000000000000002</v>
      </c>
      <c r="C218" s="78">
        <v>1</v>
      </c>
      <c r="D218" s="78">
        <v>0.15</v>
      </c>
      <c r="E218" s="79">
        <f>D218*C218*B218</f>
        <v>0.33</v>
      </c>
    </row>
    <row r="219" spans="1:22" ht="15">
      <c r="A219" s="136" t="s">
        <v>462</v>
      </c>
      <c r="B219" s="78">
        <v>2.2000000000000002</v>
      </c>
      <c r="C219" s="78">
        <v>1</v>
      </c>
      <c r="D219" s="78">
        <v>0.15</v>
      </c>
      <c r="E219" s="79">
        <f>D219*C219*B219</f>
        <v>0.33</v>
      </c>
    </row>
    <row r="220" spans="1:22" ht="15">
      <c r="A220" s="136" t="s">
        <v>463</v>
      </c>
      <c r="B220" s="72">
        <f>2*2</f>
        <v>4</v>
      </c>
      <c r="C220" s="78">
        <v>0.9</v>
      </c>
      <c r="D220" s="78">
        <v>0.15</v>
      </c>
      <c r="E220" s="79">
        <f t="shared" ref="E220" si="62">D220*C220*B220</f>
        <v>0.54</v>
      </c>
    </row>
    <row r="221" spans="1:22" ht="15">
      <c r="A221" s="136" t="s">
        <v>464</v>
      </c>
      <c r="B221" s="78">
        <v>0</v>
      </c>
      <c r="C221" s="78">
        <v>0</v>
      </c>
      <c r="D221" s="78">
        <v>0</v>
      </c>
      <c r="E221" s="79">
        <f>D221*C221</f>
        <v>0</v>
      </c>
    </row>
    <row r="222" spans="1:22" ht="15">
      <c r="A222" s="136" t="s">
        <v>465</v>
      </c>
      <c r="B222" s="78">
        <v>0.97499999999999998</v>
      </c>
      <c r="C222" s="78">
        <v>0</v>
      </c>
      <c r="D222" s="78">
        <v>0.1968</v>
      </c>
      <c r="E222" s="79">
        <f>D222*B222</f>
        <v>0.19188</v>
      </c>
    </row>
    <row r="223" spans="1:22" ht="15">
      <c r="A223" s="136" t="s">
        <v>407</v>
      </c>
      <c r="B223" s="78"/>
      <c r="C223" s="78"/>
      <c r="D223" s="78"/>
      <c r="E223" s="79">
        <v>0.25</v>
      </c>
    </row>
    <row r="224" spans="1:22" ht="15.75" thickBot="1">
      <c r="A224" s="137"/>
      <c r="B224" s="80"/>
      <c r="C224" s="80"/>
      <c r="D224" s="80"/>
      <c r="E224" s="81"/>
    </row>
    <row r="225" spans="1:21" ht="13.5" thickBot="1">
      <c r="A225" s="921" t="s">
        <v>393</v>
      </c>
      <c r="B225" s="922"/>
      <c r="C225" s="922"/>
      <c r="D225" s="923"/>
      <c r="E225" s="111">
        <f>SUM(E217:E224)</f>
        <v>1.6418800000000002</v>
      </c>
    </row>
    <row r="226" spans="1:21" ht="13.5" thickBot="1"/>
    <row r="227" spans="1:21" ht="15.75" thickBot="1">
      <c r="A227" s="587" t="s">
        <v>466</v>
      </c>
      <c r="C227" s="659"/>
    </row>
    <row r="228" spans="1:21" ht="15.75" thickBot="1">
      <c r="A228" s="328" t="s">
        <v>421</v>
      </c>
      <c r="B228" s="471">
        <f>F236</f>
        <v>3.0900000000000003</v>
      </c>
      <c r="C228" s="95" t="s">
        <v>66</v>
      </c>
      <c r="D228" s="451" t="s">
        <v>385</v>
      </c>
      <c r="E228" s="459">
        <v>3</v>
      </c>
      <c r="F228" s="121" t="s">
        <v>422</v>
      </c>
      <c r="H228" s="328" t="str">
        <f>A228</f>
        <v>COLUMN</v>
      </c>
      <c r="I228" s="472">
        <f>M236</f>
        <v>50.1</v>
      </c>
      <c r="J228" s="130" t="s">
        <v>84</v>
      </c>
      <c r="K228" s="130"/>
      <c r="L228" s="462" t="s">
        <v>385</v>
      </c>
      <c r="M228" s="452">
        <f>E228</f>
        <v>3</v>
      </c>
      <c r="N228" s="126" t="s">
        <v>422</v>
      </c>
      <c r="O228" s="328" t="str">
        <f>H228</f>
        <v>COLUMN</v>
      </c>
      <c r="P228" s="472">
        <f>S236</f>
        <v>5.57</v>
      </c>
      <c r="Q228" s="130" t="s">
        <v>84</v>
      </c>
      <c r="R228" s="653"/>
      <c r="S228" s="134"/>
      <c r="T228" s="654"/>
      <c r="U228" s="106"/>
    </row>
    <row r="229" spans="1:21" ht="13.5" thickBot="1"/>
    <row r="230" spans="1:21" s="127" customFormat="1" ht="16.5" customHeight="1" thickBot="1">
      <c r="A230" s="463" t="s">
        <v>382</v>
      </c>
      <c r="B230" s="464" t="s">
        <v>291</v>
      </c>
      <c r="C230" s="464" t="s">
        <v>383</v>
      </c>
      <c r="D230" s="464" t="s">
        <v>384</v>
      </c>
      <c r="E230" s="464" t="s">
        <v>385</v>
      </c>
      <c r="F230" s="465" t="s">
        <v>386</v>
      </c>
      <c r="H230" s="463" t="s">
        <v>382</v>
      </c>
      <c r="I230" s="464" t="s">
        <v>291</v>
      </c>
      <c r="J230" s="464" t="s">
        <v>383</v>
      </c>
      <c r="K230" s="464"/>
      <c r="L230" s="466" t="s">
        <v>385</v>
      </c>
      <c r="M230" s="467" t="s">
        <v>408</v>
      </c>
      <c r="O230" s="463" t="s">
        <v>382</v>
      </c>
      <c r="P230" s="464" t="s">
        <v>291</v>
      </c>
      <c r="Q230" s="464" t="s">
        <v>383</v>
      </c>
      <c r="R230" s="651" t="s">
        <v>384</v>
      </c>
      <c r="S230" s="652" t="s">
        <v>408</v>
      </c>
      <c r="T230" s="650"/>
    </row>
    <row r="231" spans="1:21">
      <c r="A231" s="82"/>
      <c r="B231" s="82"/>
      <c r="C231" s="82"/>
      <c r="D231" s="82"/>
      <c r="E231" s="82"/>
      <c r="F231" s="82"/>
      <c r="H231" s="82"/>
      <c r="I231" s="82"/>
      <c r="J231" s="82"/>
      <c r="K231" s="82"/>
      <c r="L231" s="82"/>
      <c r="M231" s="82"/>
      <c r="O231" s="82"/>
      <c r="P231" s="82"/>
      <c r="Q231" s="82"/>
      <c r="R231" s="213"/>
      <c r="S231" s="82"/>
      <c r="T231" s="74"/>
    </row>
    <row r="232" spans="1:21" ht="15">
      <c r="A232" s="123" t="s">
        <v>423</v>
      </c>
      <c r="B232" s="78">
        <v>3</v>
      </c>
      <c r="C232" s="78">
        <v>0.35</v>
      </c>
      <c r="D232" s="78">
        <v>0.2</v>
      </c>
      <c r="E232" s="78">
        <f>E228</f>
        <v>3</v>
      </c>
      <c r="F232" s="79">
        <f>E232*D232*C232*B232</f>
        <v>0.63000000000000012</v>
      </c>
      <c r="H232" s="123" t="str">
        <f t="shared" ref="H232:H234" si="63">A232</f>
        <v>C1</v>
      </c>
      <c r="I232" s="78">
        <f t="shared" ref="I232:I234" si="64">B232</f>
        <v>3</v>
      </c>
      <c r="J232" s="78">
        <f>2*(C232+D232)</f>
        <v>1.1000000000000001</v>
      </c>
      <c r="K232" s="78"/>
      <c r="L232" s="78">
        <f>M228</f>
        <v>3</v>
      </c>
      <c r="M232" s="79">
        <f>L232*J232*I232</f>
        <v>9.9</v>
      </c>
      <c r="O232" s="123" t="str">
        <f t="shared" ref="O232:O234" si="65">H232</f>
        <v>C1</v>
      </c>
      <c r="P232" s="78">
        <f>I232</f>
        <v>3</v>
      </c>
      <c r="Q232" s="78">
        <f>C232</f>
        <v>0.35</v>
      </c>
      <c r="R232" s="74">
        <f>D232</f>
        <v>0.2</v>
      </c>
      <c r="S232" s="79">
        <f>P232*Q232*R232</f>
        <v>0.20999999999999996</v>
      </c>
      <c r="T232" s="576"/>
    </row>
    <row r="233" spans="1:21" ht="15">
      <c r="A233" s="123" t="s">
        <v>424</v>
      </c>
      <c r="B233" s="78">
        <v>4</v>
      </c>
      <c r="C233" s="78">
        <v>0.35</v>
      </c>
      <c r="D233" s="78">
        <v>0.2</v>
      </c>
      <c r="E233" s="78">
        <f>E228</f>
        <v>3</v>
      </c>
      <c r="F233" s="79">
        <f>E233*D233*C233*B233</f>
        <v>0.84000000000000008</v>
      </c>
      <c r="H233" s="123" t="str">
        <f t="shared" si="63"/>
        <v>C2</v>
      </c>
      <c r="I233" s="78">
        <f t="shared" si="64"/>
        <v>4</v>
      </c>
      <c r="J233" s="78">
        <f t="shared" ref="J233:J234" si="66">2*(C233+D233)</f>
        <v>1.1000000000000001</v>
      </c>
      <c r="K233" s="78"/>
      <c r="L233" s="78">
        <f>M228</f>
        <v>3</v>
      </c>
      <c r="M233" s="79">
        <f>L233*J233*I233</f>
        <v>13.200000000000001</v>
      </c>
      <c r="O233" s="123" t="str">
        <f t="shared" si="65"/>
        <v>C2</v>
      </c>
      <c r="P233" s="78">
        <f>I233</f>
        <v>4</v>
      </c>
      <c r="Q233" s="78">
        <f t="shared" ref="Q233:Q234" si="67">2*(J233+K233)</f>
        <v>2.2000000000000002</v>
      </c>
      <c r="R233" s="74">
        <f t="shared" ref="R233:R234" si="68">D233</f>
        <v>0.2</v>
      </c>
      <c r="S233" s="79">
        <f>P233*Q233*R233</f>
        <v>1.7600000000000002</v>
      </c>
      <c r="T233" s="576"/>
    </row>
    <row r="234" spans="1:21" ht="15">
      <c r="A234" s="123" t="s">
        <v>425</v>
      </c>
      <c r="B234" s="78">
        <v>9</v>
      </c>
      <c r="C234" s="78">
        <v>0.3</v>
      </c>
      <c r="D234" s="78">
        <v>0.2</v>
      </c>
      <c r="E234" s="78">
        <f>E228</f>
        <v>3</v>
      </c>
      <c r="F234" s="79">
        <f>E234*D234*C234*B234</f>
        <v>1.62</v>
      </c>
      <c r="H234" s="123" t="str">
        <f t="shared" si="63"/>
        <v>C3</v>
      </c>
      <c r="I234" s="78">
        <f t="shared" si="64"/>
        <v>9</v>
      </c>
      <c r="J234" s="78">
        <f t="shared" si="66"/>
        <v>1</v>
      </c>
      <c r="K234" s="78"/>
      <c r="L234" s="78">
        <f>M228</f>
        <v>3</v>
      </c>
      <c r="M234" s="79">
        <f>L234*J234*I234</f>
        <v>27</v>
      </c>
      <c r="O234" s="123" t="str">
        <f t="shared" si="65"/>
        <v>C3</v>
      </c>
      <c r="P234" s="78">
        <f>I234</f>
        <v>9</v>
      </c>
      <c r="Q234" s="78">
        <f t="shared" si="67"/>
        <v>2</v>
      </c>
      <c r="R234" s="74">
        <f t="shared" si="68"/>
        <v>0.2</v>
      </c>
      <c r="S234" s="79">
        <f>P234*Q234*R234</f>
        <v>3.6</v>
      </c>
      <c r="T234" s="576"/>
    </row>
    <row r="235" spans="1:21" ht="15.75" thickBot="1">
      <c r="A235" s="123"/>
      <c r="B235" s="78"/>
      <c r="C235" s="78"/>
      <c r="D235" s="78"/>
      <c r="E235" s="78"/>
      <c r="F235" s="79"/>
      <c r="H235" s="124"/>
      <c r="I235" s="80"/>
      <c r="J235" s="80"/>
      <c r="K235" s="80"/>
      <c r="L235" s="80"/>
      <c r="M235" s="81"/>
      <c r="O235" s="124"/>
      <c r="P235" s="80"/>
      <c r="Q235" s="80"/>
      <c r="R235" s="219"/>
      <c r="S235" s="81"/>
      <c r="T235" s="576"/>
    </row>
    <row r="236" spans="1:21" ht="13.5" thickBot="1">
      <c r="A236" s="921" t="s">
        <v>393</v>
      </c>
      <c r="B236" s="922"/>
      <c r="C236" s="922"/>
      <c r="D236" s="922"/>
      <c r="E236" s="923"/>
      <c r="F236" s="111">
        <f>SUM(F231:F235)</f>
        <v>3.0900000000000003</v>
      </c>
      <c r="H236" s="921" t="s">
        <v>393</v>
      </c>
      <c r="I236" s="922"/>
      <c r="J236" s="922"/>
      <c r="K236" s="922"/>
      <c r="L236" s="923"/>
      <c r="M236" s="111">
        <f>SUM(M231:M235)</f>
        <v>50.1</v>
      </c>
      <c r="O236" s="921" t="s">
        <v>393</v>
      </c>
      <c r="P236" s="924"/>
      <c r="Q236" s="924"/>
      <c r="R236" s="925"/>
      <c r="S236" s="111">
        <f>SUM(S231:S235)</f>
        <v>5.57</v>
      </c>
      <c r="T236" s="260"/>
    </row>
    <row r="237" spans="1:21" ht="13.5" thickBot="1">
      <c r="A237" s="134"/>
      <c r="B237" s="135"/>
      <c r="C237" s="135"/>
      <c r="D237" s="135"/>
      <c r="E237" s="135"/>
      <c r="F237" s="101"/>
      <c r="H237" s="134"/>
      <c r="I237" s="135"/>
      <c r="J237" s="135"/>
      <c r="K237" s="135"/>
      <c r="L237" s="135"/>
      <c r="M237" s="101"/>
    </row>
    <row r="238" spans="1:21" ht="15.75" thickBot="1">
      <c r="A238" s="594" t="s">
        <v>438</v>
      </c>
      <c r="B238" s="469">
        <f>E244</f>
        <v>8.2548149999999989</v>
      </c>
      <c r="C238" s="95" t="s">
        <v>66</v>
      </c>
      <c r="H238" s="328" t="str">
        <f>A238</f>
        <v>ATTACHED BEAMS</v>
      </c>
      <c r="I238" s="469">
        <f>L244</f>
        <v>89.965519999999998</v>
      </c>
      <c r="J238" s="95" t="s">
        <v>84</v>
      </c>
      <c r="K238" s="211"/>
      <c r="O238" s="328" t="str">
        <f>H238</f>
        <v>ATTACHED BEAMS</v>
      </c>
      <c r="P238" s="472">
        <f>S244</f>
        <v>23.927</v>
      </c>
      <c r="Q238" s="130" t="s">
        <v>84</v>
      </c>
      <c r="R238" s="653"/>
      <c r="S238" s="134"/>
    </row>
    <row r="239" spans="1:21" ht="13.5" thickBot="1"/>
    <row r="240" spans="1:21" ht="13.5" thickBot="1">
      <c r="A240" s="329" t="s">
        <v>382</v>
      </c>
      <c r="B240" s="331" t="s">
        <v>383</v>
      </c>
      <c r="C240" s="331" t="s">
        <v>384</v>
      </c>
      <c r="D240" s="331" t="s">
        <v>385</v>
      </c>
      <c r="E240" s="332" t="s">
        <v>386</v>
      </c>
      <c r="H240" s="329" t="s">
        <v>382</v>
      </c>
      <c r="I240" s="331" t="s">
        <v>383</v>
      </c>
      <c r="J240" s="331" t="s">
        <v>384</v>
      </c>
      <c r="K240" s="468"/>
      <c r="L240" s="332" t="s">
        <v>387</v>
      </c>
      <c r="O240" s="463" t="s">
        <v>382</v>
      </c>
      <c r="P240" s="464" t="s">
        <v>291</v>
      </c>
      <c r="Q240" s="464" t="s">
        <v>383</v>
      </c>
      <c r="R240" s="651" t="s">
        <v>384</v>
      </c>
      <c r="S240" s="652" t="s">
        <v>408</v>
      </c>
    </row>
    <row r="241" spans="1:22">
      <c r="A241" s="82"/>
      <c r="B241" s="82"/>
      <c r="C241" s="82"/>
      <c r="D241" s="82"/>
      <c r="E241" s="82"/>
      <c r="H241" s="82"/>
      <c r="I241" s="82"/>
      <c r="J241" s="82"/>
      <c r="K241" s="82"/>
      <c r="L241" s="82"/>
      <c r="O241" s="82"/>
      <c r="P241" s="82"/>
      <c r="Q241" s="82"/>
      <c r="R241" s="213"/>
      <c r="S241" s="82"/>
    </row>
    <row r="242" spans="1:22" ht="15">
      <c r="A242" s="136" t="s">
        <v>467</v>
      </c>
      <c r="B242" s="78">
        <f>N247</f>
        <v>95.707999999999998</v>
      </c>
      <c r="C242" s="78">
        <v>0.25</v>
      </c>
      <c r="D242" s="78">
        <v>0.34499999999999997</v>
      </c>
      <c r="E242" s="79">
        <f>D242*C242*B242</f>
        <v>8.2548149999999989</v>
      </c>
      <c r="H242" s="123" t="str">
        <f t="shared" ref="H242" si="69">A242</f>
        <v>B1,B2,B3 &amp; B4</v>
      </c>
      <c r="I242" s="78">
        <f t="shared" ref="I242" si="70">B242</f>
        <v>95.707999999999998</v>
      </c>
      <c r="J242" s="78">
        <f>C242+D242+D242</f>
        <v>0.94</v>
      </c>
      <c r="K242" s="78"/>
      <c r="L242" s="79">
        <f>J242*I242</f>
        <v>89.965519999999998</v>
      </c>
      <c r="O242" s="123" t="str">
        <f t="shared" ref="O242" si="71">H242</f>
        <v>B1,B2,B3 &amp; B4</v>
      </c>
      <c r="P242" s="78">
        <v>1</v>
      </c>
      <c r="Q242" s="78">
        <f>I242</f>
        <v>95.707999999999998</v>
      </c>
      <c r="R242" s="78">
        <f>C242</f>
        <v>0.25</v>
      </c>
      <c r="S242" s="79">
        <f>R242*Q242*P242</f>
        <v>23.927</v>
      </c>
    </row>
    <row r="243" spans="1:22" ht="15.75" thickBot="1">
      <c r="A243" s="137"/>
      <c r="B243" s="80"/>
      <c r="C243" s="80"/>
      <c r="D243" s="80"/>
      <c r="E243" s="81"/>
      <c r="H243" s="124"/>
      <c r="I243" s="80"/>
      <c r="J243" s="80"/>
      <c r="K243" s="80"/>
      <c r="L243" s="81"/>
      <c r="O243" s="81"/>
      <c r="P243" s="80"/>
      <c r="Q243" s="80"/>
      <c r="R243" s="80"/>
      <c r="S243" s="80"/>
    </row>
    <row r="244" spans="1:22" ht="13.5" thickBot="1">
      <c r="A244" s="921" t="s">
        <v>393</v>
      </c>
      <c r="B244" s="922"/>
      <c r="C244" s="922"/>
      <c r="D244" s="923"/>
      <c r="E244" s="111">
        <f>SUM(E241:E243)</f>
        <v>8.2548149999999989</v>
      </c>
      <c r="H244" s="921" t="s">
        <v>393</v>
      </c>
      <c r="I244" s="922"/>
      <c r="J244" s="923"/>
      <c r="K244" s="205"/>
      <c r="L244" s="111">
        <f>SUM(L241:L243)</f>
        <v>89.965519999999998</v>
      </c>
      <c r="O244" s="921" t="s">
        <v>393</v>
      </c>
      <c r="P244" s="924"/>
      <c r="Q244" s="924"/>
      <c r="R244" s="925"/>
      <c r="S244" s="111">
        <f>SUM(S240:S243)</f>
        <v>23.927</v>
      </c>
    </row>
    <row r="245" spans="1:22" ht="15.75" thickBot="1">
      <c r="A245" s="102"/>
      <c r="F245" s="102"/>
      <c r="G245" s="99"/>
    </row>
    <row r="246" spans="1:22">
      <c r="A246" s="336" t="s">
        <v>440</v>
      </c>
    </row>
    <row r="247" spans="1:22">
      <c r="A247" s="103" t="str">
        <f>A242</f>
        <v>B1,B2,B3 &amp; B4</v>
      </c>
      <c r="B247" s="100">
        <f>4.045+(4*2.65)+(2*2.2275)+1.95</f>
        <v>21.05</v>
      </c>
      <c r="C247" s="100">
        <f>4.555+(2*4.595)+2*(4.262)+5.395</f>
        <v>27.663999999999998</v>
      </c>
      <c r="D247" s="100">
        <f>(2*5.155)+4.587+(2*1.15)+1.15</f>
        <v>18.346999999999998</v>
      </c>
      <c r="E247" s="100">
        <f>4.555+(2*4.795)+(2*4.145)+1.95+4.262</f>
        <v>28.646999999999998</v>
      </c>
      <c r="F247" s="100">
        <v>0</v>
      </c>
      <c r="G247" s="100"/>
      <c r="H247" s="100"/>
      <c r="I247" s="100"/>
      <c r="J247" s="100"/>
      <c r="K247" s="100"/>
      <c r="L247" s="100"/>
      <c r="M247" s="100"/>
      <c r="N247" s="649">
        <f>SUM(B247:M247)</f>
        <v>95.707999999999998</v>
      </c>
      <c r="O247" s="655"/>
      <c r="P247" s="656"/>
      <c r="Q247" s="656"/>
      <c r="R247" s="656"/>
      <c r="S247" s="656"/>
      <c r="T247" s="656"/>
      <c r="U247" s="657"/>
      <c r="V247" s="101"/>
    </row>
    <row r="248" spans="1:22" ht="15">
      <c r="A248" s="322"/>
      <c r="N248" s="760"/>
      <c r="U248" s="101"/>
      <c r="V248" s="101"/>
    </row>
    <row r="249" spans="1:22" ht="13.5" thickBot="1"/>
    <row r="250" spans="1:22" ht="15.75" thickBot="1">
      <c r="A250" s="461" t="s">
        <v>441</v>
      </c>
      <c r="B250" s="469">
        <f>D257-D262</f>
        <v>16.455224190000003</v>
      </c>
      <c r="C250" s="95" t="s">
        <v>66</v>
      </c>
      <c r="H250" s="328" t="str">
        <f>A250</f>
        <v>SLAB</v>
      </c>
      <c r="I250" s="469">
        <f>L257-L262</f>
        <v>-22.618839000000001</v>
      </c>
      <c r="J250" s="95" t="s">
        <v>84</v>
      </c>
      <c r="K250" s="211"/>
    </row>
    <row r="251" spans="1:22" ht="13.5" thickBot="1"/>
    <row r="252" spans="1:22" ht="13.5" thickBot="1">
      <c r="A252" s="329" t="s">
        <v>382</v>
      </c>
      <c r="B252" s="331" t="s">
        <v>409</v>
      </c>
      <c r="C252" s="331" t="s">
        <v>385</v>
      </c>
      <c r="D252" s="331" t="s">
        <v>386</v>
      </c>
      <c r="H252" s="329" t="s">
        <v>382</v>
      </c>
      <c r="I252" s="331" t="s">
        <v>383</v>
      </c>
      <c r="J252" s="330" t="s">
        <v>442</v>
      </c>
      <c r="K252" s="468"/>
      <c r="L252" s="332" t="s">
        <v>443</v>
      </c>
    </row>
    <row r="253" spans="1:22">
      <c r="A253" s="213"/>
      <c r="B253" s="82"/>
      <c r="C253" s="82"/>
      <c r="D253" s="82"/>
      <c r="H253" s="213"/>
      <c r="I253" s="213"/>
      <c r="J253" s="82"/>
      <c r="K253" s="214"/>
      <c r="L253" s="215"/>
      <c r="N253" s="664"/>
    </row>
    <row r="254" spans="1:22" ht="15">
      <c r="A254" s="323" t="s">
        <v>444</v>
      </c>
      <c r="B254" s="72">
        <f>B267</f>
        <v>136.93</v>
      </c>
      <c r="C254" s="78">
        <v>0.13500000000000001</v>
      </c>
      <c r="D254" s="79">
        <f>C254*B254</f>
        <v>18.485550000000003</v>
      </c>
      <c r="H254" s="323" t="s">
        <v>444</v>
      </c>
      <c r="I254" s="72">
        <f>B267</f>
        <v>136.93</v>
      </c>
      <c r="J254" s="78">
        <v>0.13500000000000001</v>
      </c>
      <c r="K254" s="79">
        <f>J254*I254</f>
        <v>18.485550000000003</v>
      </c>
      <c r="L254" s="217">
        <f>I254*J254</f>
        <v>18.485550000000003</v>
      </c>
    </row>
    <row r="255" spans="1:22" ht="15">
      <c r="A255" s="323" t="s">
        <v>445</v>
      </c>
      <c r="B255" s="72">
        <f>B268</f>
        <v>28.86</v>
      </c>
      <c r="C255" s="78">
        <v>0.02</v>
      </c>
      <c r="D255" s="79">
        <f>C255*B255</f>
        <v>0.57720000000000005</v>
      </c>
      <c r="H255" s="216" t="str">
        <f>A255</f>
        <v>150mm tk Slab</v>
      </c>
      <c r="I255" s="74">
        <f>B255</f>
        <v>28.86</v>
      </c>
      <c r="J255" s="78">
        <v>0.15</v>
      </c>
      <c r="K255" s="96"/>
      <c r="L255" s="217">
        <f>I255*J255</f>
        <v>4.3289999999999997</v>
      </c>
    </row>
    <row r="256" spans="1:22" ht="15.75" thickBot="1">
      <c r="A256" s="323"/>
      <c r="B256" s="78"/>
      <c r="C256" s="78"/>
      <c r="D256" s="79"/>
      <c r="H256" s="323" t="s">
        <v>446</v>
      </c>
      <c r="I256" s="74">
        <f>L274+L275</f>
        <v>63.664000000000001</v>
      </c>
      <c r="J256" s="78">
        <v>0.155</v>
      </c>
      <c r="L256" s="217">
        <f>J256*I256</f>
        <v>9.8679199999999998</v>
      </c>
    </row>
    <row r="257" spans="1:22" ht="15.75" thickBot="1">
      <c r="A257" s="216"/>
      <c r="B257" s="78"/>
      <c r="C257" s="78"/>
      <c r="D257" s="224">
        <f>SUM(D254:D255)</f>
        <v>19.062750000000005</v>
      </c>
      <c r="H257" s="216"/>
      <c r="I257" s="74"/>
      <c r="J257" s="78"/>
      <c r="L257" s="224">
        <f>SUM(L255:L256)</f>
        <v>14.196919999999999</v>
      </c>
    </row>
    <row r="258" spans="1:22" ht="15">
      <c r="A258" s="218" t="s">
        <v>447</v>
      </c>
      <c r="B258" s="78"/>
      <c r="C258" s="78"/>
      <c r="D258" s="217"/>
      <c r="H258" s="218" t="s">
        <v>447</v>
      </c>
      <c r="I258" s="74"/>
      <c r="J258" s="78"/>
      <c r="L258" s="217"/>
    </row>
    <row r="259" spans="1:22" ht="15">
      <c r="A259" s="323" t="s">
        <v>468</v>
      </c>
      <c r="B259" s="72">
        <f>L270</f>
        <v>6.426247</v>
      </c>
      <c r="C259" s="78">
        <v>0.13500000000000001</v>
      </c>
      <c r="D259" s="79">
        <f>C259*B259</f>
        <v>0.86754334500000008</v>
      </c>
      <c r="H259" s="216" t="s">
        <v>449</v>
      </c>
      <c r="I259" s="74">
        <v>1</v>
      </c>
      <c r="J259" s="78">
        <v>0</v>
      </c>
      <c r="L259" s="217">
        <f>J259*I259</f>
        <v>0</v>
      </c>
    </row>
    <row r="260" spans="1:22" ht="15">
      <c r="A260" s="323" t="s">
        <v>450</v>
      </c>
      <c r="B260" s="78">
        <f>L271</f>
        <v>7.318759</v>
      </c>
      <c r="C260" s="78">
        <v>0.13500000000000001</v>
      </c>
      <c r="D260" s="217">
        <f>C260*B260</f>
        <v>0.98803246500000008</v>
      </c>
      <c r="H260" s="216" t="s">
        <v>451</v>
      </c>
      <c r="I260" s="74">
        <v>1</v>
      </c>
      <c r="J260" s="78">
        <f>B260</f>
        <v>7.318759</v>
      </c>
      <c r="L260" s="217">
        <f>J260*I260</f>
        <v>7.318759</v>
      </c>
    </row>
    <row r="261" spans="1:22" ht="15.75" thickBot="1">
      <c r="A261" s="323" t="s">
        <v>452</v>
      </c>
      <c r="B261" s="78">
        <f>P228</f>
        <v>5.57</v>
      </c>
      <c r="C261" s="78">
        <v>0.13500000000000001</v>
      </c>
      <c r="D261" s="217">
        <f>C261*B261</f>
        <v>0.75195000000000012</v>
      </c>
      <c r="H261" s="323" t="s">
        <v>453</v>
      </c>
      <c r="I261" s="74">
        <v>1</v>
      </c>
      <c r="J261" s="78">
        <f>P238+P228</f>
        <v>29.497</v>
      </c>
      <c r="L261" s="217">
        <f>J261*I261</f>
        <v>29.497</v>
      </c>
      <c r="M261" s="223"/>
    </row>
    <row r="262" spans="1:22" ht="15.75" thickBot="1">
      <c r="A262" s="216"/>
      <c r="B262" s="78"/>
      <c r="C262" s="78"/>
      <c r="D262" s="224">
        <f>SUM(D259:D261)</f>
        <v>2.6075258100000003</v>
      </c>
      <c r="H262" s="216"/>
      <c r="I262" s="74"/>
      <c r="J262" s="78"/>
      <c r="L262" s="224">
        <f>SUM(L259:L261)</f>
        <v>36.815759</v>
      </c>
    </row>
    <row r="263" spans="1:22" ht="13.5" thickBot="1">
      <c r="A263" s="219"/>
      <c r="B263" s="80"/>
      <c r="C263" s="80"/>
      <c r="D263" s="221"/>
      <c r="H263" s="219"/>
      <c r="I263" s="219"/>
      <c r="J263" s="80"/>
      <c r="K263" s="220"/>
      <c r="L263" s="221"/>
    </row>
    <row r="264" spans="1:22" ht="13.5" thickBot="1"/>
    <row r="265" spans="1:22" ht="13.5" thickBot="1">
      <c r="A265" s="111" t="s">
        <v>454</v>
      </c>
    </row>
    <row r="266" spans="1:22" ht="13.5" thickBot="1"/>
    <row r="267" spans="1:22" ht="13.5" thickBot="1">
      <c r="A267" s="103" t="str">
        <f>A254</f>
        <v>135mm tk Slab</v>
      </c>
      <c r="B267" s="100">
        <v>136.93</v>
      </c>
      <c r="C267" s="100">
        <v>0</v>
      </c>
      <c r="D267" s="100">
        <v>0</v>
      </c>
      <c r="E267" s="100">
        <v>0</v>
      </c>
      <c r="F267" s="100">
        <v>0</v>
      </c>
      <c r="G267" s="100">
        <v>0</v>
      </c>
      <c r="H267" s="100">
        <v>0</v>
      </c>
      <c r="I267" s="100">
        <v>0</v>
      </c>
      <c r="J267" s="100">
        <v>0</v>
      </c>
      <c r="K267" s="100"/>
      <c r="L267" s="455">
        <f>SUM(B267:J267)</f>
        <v>136.93</v>
      </c>
    </row>
    <row r="268" spans="1:22" ht="15">
      <c r="A268" s="103" t="str">
        <f>A255</f>
        <v>150mm tk Slab</v>
      </c>
      <c r="B268" s="100">
        <v>28.86</v>
      </c>
      <c r="C268" s="100">
        <v>0</v>
      </c>
      <c r="D268" s="100">
        <v>0</v>
      </c>
      <c r="E268" s="100">
        <v>0</v>
      </c>
      <c r="F268" s="100">
        <v>0</v>
      </c>
      <c r="G268" s="100">
        <v>0</v>
      </c>
      <c r="H268" s="100">
        <v>0</v>
      </c>
      <c r="I268" s="100">
        <v>0</v>
      </c>
      <c r="J268" s="100">
        <v>0</v>
      </c>
      <c r="K268" s="100"/>
      <c r="L268" s="455">
        <f>SUM(B268:J268)</f>
        <v>28.86</v>
      </c>
      <c r="M268" s="595"/>
      <c r="N268" s="760"/>
      <c r="V268" s="101"/>
    </row>
    <row r="269" spans="1:22" ht="15.75" thickBot="1">
      <c r="A269" s="222" t="str">
        <f>A258</f>
        <v>Deduction</v>
      </c>
    </row>
    <row r="270" spans="1:22" ht="15.75" thickBot="1">
      <c r="A270" s="103" t="str">
        <f>A259</f>
        <v>Artium Voids</v>
      </c>
      <c r="B270" s="100">
        <f>B206</f>
        <v>6.426247</v>
      </c>
      <c r="C270" s="100">
        <v>0</v>
      </c>
      <c r="D270" s="100">
        <v>0</v>
      </c>
      <c r="E270" s="100">
        <v>0</v>
      </c>
      <c r="F270" s="100">
        <v>0</v>
      </c>
      <c r="G270" s="100">
        <v>0</v>
      </c>
      <c r="H270" s="100">
        <v>0</v>
      </c>
      <c r="I270" s="100">
        <v>0</v>
      </c>
      <c r="J270" s="100">
        <v>0</v>
      </c>
      <c r="K270" s="100"/>
      <c r="L270" s="455">
        <f>SUM(B270:J270)</f>
        <v>6.426247</v>
      </c>
      <c r="M270" s="595"/>
      <c r="N270" s="760"/>
      <c r="V270" s="101"/>
    </row>
    <row r="271" spans="1:22" ht="15">
      <c r="A271" s="103" t="str">
        <f>A260</f>
        <v>Stair Well &amp; Voids</v>
      </c>
      <c r="B271" s="100">
        <f>B207+1.371259</f>
        <v>7.318759</v>
      </c>
      <c r="C271" s="100">
        <v>0</v>
      </c>
      <c r="D271" s="100">
        <v>0</v>
      </c>
      <c r="E271" s="100">
        <v>0</v>
      </c>
      <c r="F271" s="100">
        <v>0</v>
      </c>
      <c r="G271" s="100">
        <v>0</v>
      </c>
      <c r="H271" s="100">
        <v>0</v>
      </c>
      <c r="I271" s="100">
        <v>0</v>
      </c>
      <c r="J271" s="100">
        <v>0</v>
      </c>
      <c r="K271" s="100"/>
      <c r="L271" s="455">
        <f>SUM(B271:J271)</f>
        <v>7.318759</v>
      </c>
      <c r="M271" s="595"/>
      <c r="N271" s="760"/>
      <c r="V271" s="101"/>
    </row>
    <row r="272" spans="1:22" ht="13.5" thickBot="1"/>
    <row r="273" spans="1:22" ht="13.5" thickBot="1">
      <c r="A273" s="336" t="s">
        <v>455</v>
      </c>
    </row>
    <row r="274" spans="1:22" ht="15.75" thickBot="1">
      <c r="A274" s="103" t="s">
        <v>456</v>
      </c>
      <c r="B274" s="100">
        <v>53.664000000000001</v>
      </c>
      <c r="C274" s="100">
        <v>0</v>
      </c>
      <c r="D274" s="100">
        <v>0</v>
      </c>
      <c r="E274" s="100">
        <v>0</v>
      </c>
      <c r="F274" s="100">
        <v>0</v>
      </c>
      <c r="G274" s="100">
        <v>0</v>
      </c>
      <c r="H274" s="100">
        <v>0</v>
      </c>
      <c r="I274" s="100">
        <v>0</v>
      </c>
      <c r="J274" s="100">
        <v>0</v>
      </c>
      <c r="K274" s="100"/>
      <c r="L274" s="455">
        <f>SUM(B274:J274)</f>
        <v>53.664000000000001</v>
      </c>
      <c r="M274" s="595"/>
      <c r="N274" s="760"/>
      <c r="V274" s="101"/>
    </row>
    <row r="275" spans="1:22" ht="15.75" thickBot="1">
      <c r="A275" s="103" t="s">
        <v>457</v>
      </c>
      <c r="B275" s="100">
        <v>10</v>
      </c>
      <c r="C275" s="100">
        <v>0</v>
      </c>
      <c r="D275" s="100">
        <v>0</v>
      </c>
      <c r="E275" s="100">
        <v>0</v>
      </c>
      <c r="F275" s="100">
        <v>0</v>
      </c>
      <c r="G275" s="100">
        <v>0</v>
      </c>
      <c r="H275" s="100">
        <v>0</v>
      </c>
      <c r="I275" s="100">
        <v>0</v>
      </c>
      <c r="J275" s="100">
        <v>0</v>
      </c>
      <c r="K275" s="100"/>
      <c r="L275" s="455">
        <f>SUM(B275:J275)</f>
        <v>10</v>
      </c>
      <c r="M275" s="595"/>
      <c r="N275" s="760"/>
      <c r="V275" s="101"/>
    </row>
    <row r="276" spans="1:22" ht="15">
      <c r="A276" s="103" t="s">
        <v>458</v>
      </c>
      <c r="B276" s="100">
        <f>4.786+10.15</f>
        <v>14.936</v>
      </c>
      <c r="C276" s="100">
        <v>0</v>
      </c>
      <c r="D276" s="100">
        <v>0</v>
      </c>
      <c r="E276" s="100">
        <v>0</v>
      </c>
      <c r="F276" s="100">
        <v>0</v>
      </c>
      <c r="G276" s="100">
        <v>0</v>
      </c>
      <c r="H276" s="100">
        <v>0</v>
      </c>
      <c r="I276" s="100">
        <v>0</v>
      </c>
      <c r="J276" s="100">
        <v>0</v>
      </c>
      <c r="K276" s="100"/>
      <c r="L276" s="455">
        <f>SUM(B276:J276)</f>
        <v>14.936</v>
      </c>
      <c r="M276" s="595"/>
      <c r="N276" s="760"/>
      <c r="V276" s="101"/>
    </row>
    <row r="277" spans="1:22" ht="13.5" thickBot="1"/>
    <row r="278" spans="1:22" ht="15.75" thickBot="1">
      <c r="A278" s="461" t="s">
        <v>459</v>
      </c>
      <c r="B278" s="469">
        <f>E289</f>
        <v>1.6418800000000002</v>
      </c>
      <c r="C278" s="95" t="s">
        <v>66</v>
      </c>
    </row>
    <row r="279" spans="1:22" ht="13.5" thickBot="1"/>
    <row r="280" spans="1:22" ht="13.5" thickBot="1">
      <c r="A280" s="329" t="s">
        <v>382</v>
      </c>
      <c r="B280" s="331" t="s">
        <v>383</v>
      </c>
      <c r="C280" s="331" t="s">
        <v>384</v>
      </c>
      <c r="D280" s="330" t="s">
        <v>460</v>
      </c>
      <c r="E280" s="332" t="s">
        <v>386</v>
      </c>
    </row>
    <row r="281" spans="1:22">
      <c r="A281" s="82"/>
      <c r="B281" s="82"/>
      <c r="C281" s="82"/>
      <c r="D281" s="82"/>
      <c r="E281" s="82"/>
    </row>
    <row r="282" spans="1:22" ht="15">
      <c r="A282" s="136" t="s">
        <v>461</v>
      </c>
      <c r="B282" s="78">
        <f t="shared" ref="B282:D286" si="72">B218</f>
        <v>2.2000000000000002</v>
      </c>
      <c r="C282" s="78">
        <f t="shared" si="72"/>
        <v>1</v>
      </c>
      <c r="D282" s="78">
        <f t="shared" si="72"/>
        <v>0.15</v>
      </c>
      <c r="E282" s="79">
        <f>D282*C282*B282</f>
        <v>0.33</v>
      </c>
    </row>
    <row r="283" spans="1:22" ht="15">
      <c r="A283" s="136" t="s">
        <v>462</v>
      </c>
      <c r="B283" s="78">
        <f t="shared" si="72"/>
        <v>2.2000000000000002</v>
      </c>
      <c r="C283" s="78">
        <f t="shared" si="72"/>
        <v>1</v>
      </c>
      <c r="D283" s="78">
        <f t="shared" si="72"/>
        <v>0.15</v>
      </c>
      <c r="E283" s="79">
        <f>D283*C283*B283</f>
        <v>0.33</v>
      </c>
    </row>
    <row r="284" spans="1:22" ht="15">
      <c r="A284" s="136" t="s">
        <v>463</v>
      </c>
      <c r="B284" s="78">
        <f t="shared" si="72"/>
        <v>4</v>
      </c>
      <c r="C284" s="78">
        <f t="shared" si="72"/>
        <v>0.9</v>
      </c>
      <c r="D284" s="78">
        <f t="shared" si="72"/>
        <v>0.15</v>
      </c>
      <c r="E284" s="79">
        <f t="shared" ref="E284" si="73">D284*C284*B284</f>
        <v>0.54</v>
      </c>
    </row>
    <row r="285" spans="1:22" ht="15">
      <c r="A285" s="136" t="s">
        <v>464</v>
      </c>
      <c r="B285" s="78">
        <f t="shared" si="72"/>
        <v>0</v>
      </c>
      <c r="C285" s="78">
        <f t="shared" si="72"/>
        <v>0</v>
      </c>
      <c r="D285" s="78">
        <f t="shared" si="72"/>
        <v>0</v>
      </c>
      <c r="E285" s="79">
        <f>D285*C285</f>
        <v>0</v>
      </c>
    </row>
    <row r="286" spans="1:22" ht="15">
      <c r="A286" s="136" t="s">
        <v>465</v>
      </c>
      <c r="B286" s="78">
        <f t="shared" si="72"/>
        <v>0.97499999999999998</v>
      </c>
      <c r="C286" s="78">
        <f t="shared" si="72"/>
        <v>0</v>
      </c>
      <c r="D286" s="78">
        <f t="shared" si="72"/>
        <v>0.1968</v>
      </c>
      <c r="E286" s="79">
        <f>D286*B286</f>
        <v>0.19188</v>
      </c>
    </row>
    <row r="287" spans="1:22" ht="15">
      <c r="A287" s="136" t="s">
        <v>407</v>
      </c>
      <c r="B287" s="78"/>
      <c r="C287" s="78"/>
      <c r="D287" s="78"/>
      <c r="E287" s="79">
        <v>0.25</v>
      </c>
    </row>
    <row r="288" spans="1:22" ht="15.75" thickBot="1">
      <c r="A288" s="137"/>
      <c r="B288" s="80"/>
      <c r="C288" s="80"/>
      <c r="D288" s="80"/>
      <c r="E288" s="81"/>
    </row>
    <row r="289" spans="1:21" ht="13.5" thickBot="1">
      <c r="A289" s="921" t="s">
        <v>393</v>
      </c>
      <c r="B289" s="922"/>
      <c r="C289" s="922"/>
      <c r="D289" s="923"/>
      <c r="E289" s="111">
        <f>SUM(E281:E288)</f>
        <v>1.6418800000000002</v>
      </c>
    </row>
    <row r="290" spans="1:21" ht="13.5" thickBot="1"/>
    <row r="291" spans="1:21" ht="15.75" thickBot="1">
      <c r="A291" s="587" t="s">
        <v>469</v>
      </c>
      <c r="C291" s="659"/>
    </row>
    <row r="292" spans="1:21" ht="15.75" thickBot="1">
      <c r="A292" s="328" t="s">
        <v>421</v>
      </c>
      <c r="B292" s="471">
        <f>F300</f>
        <v>3.0900000000000003</v>
      </c>
      <c r="C292" s="95" t="s">
        <v>66</v>
      </c>
      <c r="D292" s="451" t="s">
        <v>385</v>
      </c>
      <c r="E292" s="459">
        <v>3</v>
      </c>
      <c r="F292" s="121" t="s">
        <v>422</v>
      </c>
      <c r="H292" s="328" t="str">
        <f>A292</f>
        <v>COLUMN</v>
      </c>
      <c r="I292" s="472">
        <f>M300</f>
        <v>50.1</v>
      </c>
      <c r="J292" s="130" t="s">
        <v>84</v>
      </c>
      <c r="K292" s="130"/>
      <c r="L292" s="462" t="s">
        <v>385</v>
      </c>
      <c r="M292" s="452">
        <f>E292</f>
        <v>3</v>
      </c>
      <c r="N292" s="126" t="s">
        <v>422</v>
      </c>
      <c r="O292" s="328" t="str">
        <f>H292</f>
        <v>COLUMN</v>
      </c>
      <c r="P292" s="472">
        <f>S300</f>
        <v>5.57</v>
      </c>
      <c r="Q292" s="130" t="s">
        <v>84</v>
      </c>
      <c r="R292" s="653"/>
      <c r="S292" s="134"/>
      <c r="T292" s="654"/>
      <c r="U292" s="106"/>
    </row>
    <row r="293" spans="1:21" ht="13.5" thickBot="1"/>
    <row r="294" spans="1:21" s="127" customFormat="1" ht="16.5" customHeight="1" thickBot="1">
      <c r="A294" s="463" t="s">
        <v>382</v>
      </c>
      <c r="B294" s="464" t="s">
        <v>291</v>
      </c>
      <c r="C294" s="464" t="s">
        <v>383</v>
      </c>
      <c r="D294" s="464" t="s">
        <v>384</v>
      </c>
      <c r="E294" s="464" t="s">
        <v>385</v>
      </c>
      <c r="F294" s="465" t="s">
        <v>386</v>
      </c>
      <c r="H294" s="463" t="s">
        <v>382</v>
      </c>
      <c r="I294" s="464" t="s">
        <v>291</v>
      </c>
      <c r="J294" s="464" t="s">
        <v>383</v>
      </c>
      <c r="K294" s="464"/>
      <c r="L294" s="466" t="s">
        <v>385</v>
      </c>
      <c r="M294" s="467" t="s">
        <v>408</v>
      </c>
      <c r="O294" s="463" t="s">
        <v>382</v>
      </c>
      <c r="P294" s="464" t="s">
        <v>291</v>
      </c>
      <c r="Q294" s="464" t="s">
        <v>383</v>
      </c>
      <c r="R294" s="651" t="s">
        <v>384</v>
      </c>
      <c r="S294" s="652" t="s">
        <v>408</v>
      </c>
      <c r="T294" s="650"/>
    </row>
    <row r="295" spans="1:21">
      <c r="A295" s="82"/>
      <c r="B295" s="82"/>
      <c r="C295" s="82"/>
      <c r="D295" s="82"/>
      <c r="E295" s="82"/>
      <c r="F295" s="82"/>
      <c r="H295" s="82"/>
      <c r="I295" s="82"/>
      <c r="J295" s="82"/>
      <c r="K295" s="82"/>
      <c r="L295" s="82"/>
      <c r="M295" s="82"/>
      <c r="O295" s="82"/>
      <c r="P295" s="82"/>
      <c r="Q295" s="82"/>
      <c r="R295" s="213"/>
      <c r="S295" s="82"/>
      <c r="T295" s="74"/>
    </row>
    <row r="296" spans="1:21" ht="15">
      <c r="A296" s="123" t="s">
        <v>423</v>
      </c>
      <c r="B296" s="78">
        <v>3</v>
      </c>
      <c r="C296" s="78">
        <v>0.35</v>
      </c>
      <c r="D296" s="78">
        <v>0.2</v>
      </c>
      <c r="E296" s="78">
        <f>E292</f>
        <v>3</v>
      </c>
      <c r="F296" s="79">
        <f>E296*D296*C296*B296</f>
        <v>0.63000000000000012</v>
      </c>
      <c r="H296" s="123" t="str">
        <f t="shared" ref="H296:H298" si="74">A296</f>
        <v>C1</v>
      </c>
      <c r="I296" s="78">
        <f t="shared" ref="I296:I298" si="75">B296</f>
        <v>3</v>
      </c>
      <c r="J296" s="78">
        <f>2*(C296+D296)</f>
        <v>1.1000000000000001</v>
      </c>
      <c r="K296" s="78"/>
      <c r="L296" s="78">
        <f>M292</f>
        <v>3</v>
      </c>
      <c r="M296" s="79">
        <f>L296*J296*I296</f>
        <v>9.9</v>
      </c>
      <c r="O296" s="123" t="str">
        <f t="shared" ref="O296:O298" si="76">H296</f>
        <v>C1</v>
      </c>
      <c r="P296" s="78">
        <f>I296</f>
        <v>3</v>
      </c>
      <c r="Q296" s="78">
        <f>C296</f>
        <v>0.35</v>
      </c>
      <c r="R296" s="74">
        <f>D296</f>
        <v>0.2</v>
      </c>
      <c r="S296" s="79">
        <f>P296*Q296*R296</f>
        <v>0.20999999999999996</v>
      </c>
      <c r="T296" s="576"/>
    </row>
    <row r="297" spans="1:21" ht="15">
      <c r="A297" s="123" t="s">
        <v>424</v>
      </c>
      <c r="B297" s="78">
        <v>4</v>
      </c>
      <c r="C297" s="78">
        <v>0.35</v>
      </c>
      <c r="D297" s="78">
        <v>0.2</v>
      </c>
      <c r="E297" s="78">
        <f>E292</f>
        <v>3</v>
      </c>
      <c r="F297" s="79">
        <f>E297*D297*C297*B297</f>
        <v>0.84000000000000008</v>
      </c>
      <c r="H297" s="123" t="str">
        <f t="shared" si="74"/>
        <v>C2</v>
      </c>
      <c r="I297" s="78">
        <f t="shared" si="75"/>
        <v>4</v>
      </c>
      <c r="J297" s="78">
        <f t="shared" ref="J297:J298" si="77">2*(C297+D297)</f>
        <v>1.1000000000000001</v>
      </c>
      <c r="K297" s="78"/>
      <c r="L297" s="78">
        <f>M292</f>
        <v>3</v>
      </c>
      <c r="M297" s="79">
        <f>L297*J297*I297</f>
        <v>13.200000000000001</v>
      </c>
      <c r="O297" s="123" t="str">
        <f t="shared" si="76"/>
        <v>C2</v>
      </c>
      <c r="P297" s="78">
        <f>I297</f>
        <v>4</v>
      </c>
      <c r="Q297" s="78">
        <f t="shared" ref="Q297:Q298" si="78">2*(J297+K297)</f>
        <v>2.2000000000000002</v>
      </c>
      <c r="R297" s="74">
        <f t="shared" ref="R297:R298" si="79">D297</f>
        <v>0.2</v>
      </c>
      <c r="S297" s="79">
        <f>P297*Q297*R297</f>
        <v>1.7600000000000002</v>
      </c>
      <c r="T297" s="576"/>
    </row>
    <row r="298" spans="1:21" ht="15">
      <c r="A298" s="123" t="s">
        <v>425</v>
      </c>
      <c r="B298" s="78">
        <v>9</v>
      </c>
      <c r="C298" s="78">
        <v>0.3</v>
      </c>
      <c r="D298" s="78">
        <v>0.2</v>
      </c>
      <c r="E298" s="78">
        <f>E292</f>
        <v>3</v>
      </c>
      <c r="F298" s="79">
        <f>E298*D298*C298*B298</f>
        <v>1.62</v>
      </c>
      <c r="H298" s="123" t="str">
        <f t="shared" si="74"/>
        <v>C3</v>
      </c>
      <c r="I298" s="78">
        <f t="shared" si="75"/>
        <v>9</v>
      </c>
      <c r="J298" s="78">
        <f t="shared" si="77"/>
        <v>1</v>
      </c>
      <c r="K298" s="78"/>
      <c r="L298" s="78">
        <f>M292</f>
        <v>3</v>
      </c>
      <c r="M298" s="79">
        <f>L298*J298*I298</f>
        <v>27</v>
      </c>
      <c r="O298" s="123" t="str">
        <f t="shared" si="76"/>
        <v>C3</v>
      </c>
      <c r="P298" s="78">
        <f>I298</f>
        <v>9</v>
      </c>
      <c r="Q298" s="78">
        <f t="shared" si="78"/>
        <v>2</v>
      </c>
      <c r="R298" s="74">
        <f t="shared" si="79"/>
        <v>0.2</v>
      </c>
      <c r="S298" s="79">
        <f>P298*Q298*R298</f>
        <v>3.6</v>
      </c>
      <c r="T298" s="576"/>
    </row>
    <row r="299" spans="1:21" ht="15.75" thickBot="1">
      <c r="A299" s="123"/>
      <c r="B299" s="78"/>
      <c r="C299" s="78"/>
      <c r="D299" s="78"/>
      <c r="E299" s="78"/>
      <c r="F299" s="79"/>
      <c r="H299" s="124"/>
      <c r="I299" s="80"/>
      <c r="J299" s="80"/>
      <c r="K299" s="80"/>
      <c r="L299" s="80"/>
      <c r="M299" s="81"/>
      <c r="O299" s="124"/>
      <c r="P299" s="80"/>
      <c r="Q299" s="80"/>
      <c r="R299" s="219"/>
      <c r="S299" s="81"/>
      <c r="T299" s="576"/>
    </row>
    <row r="300" spans="1:21" ht="13.5" thickBot="1">
      <c r="A300" s="921" t="s">
        <v>393</v>
      </c>
      <c r="B300" s="922"/>
      <c r="C300" s="922"/>
      <c r="D300" s="922"/>
      <c r="E300" s="923"/>
      <c r="F300" s="111">
        <f>SUM(F295:F299)</f>
        <v>3.0900000000000003</v>
      </c>
      <c r="H300" s="921" t="s">
        <v>393</v>
      </c>
      <c r="I300" s="922"/>
      <c r="J300" s="922"/>
      <c r="K300" s="922"/>
      <c r="L300" s="923"/>
      <c r="M300" s="111">
        <f>SUM(M295:M299)</f>
        <v>50.1</v>
      </c>
      <c r="O300" s="921" t="s">
        <v>393</v>
      </c>
      <c r="P300" s="924"/>
      <c r="Q300" s="924"/>
      <c r="R300" s="925"/>
      <c r="S300" s="111">
        <f>SUM(S295:S299)</f>
        <v>5.57</v>
      </c>
      <c r="T300" s="260"/>
    </row>
    <row r="301" spans="1:21">
      <c r="A301" s="134"/>
      <c r="B301" s="135"/>
      <c r="C301" s="135"/>
      <c r="D301" s="135"/>
      <c r="E301" s="135"/>
      <c r="F301" s="101"/>
      <c r="H301" s="134"/>
      <c r="I301" s="135"/>
      <c r="J301" s="135"/>
      <c r="K301" s="135"/>
      <c r="L301" s="135"/>
      <c r="M301" s="101"/>
    </row>
    <row r="302" spans="1:21" ht="13.5" thickBot="1">
      <c r="A302" s="134"/>
      <c r="B302" s="135"/>
      <c r="C302" s="135"/>
      <c r="D302" s="135"/>
      <c r="E302" s="135"/>
      <c r="F302" s="101"/>
      <c r="H302" s="134"/>
      <c r="I302" s="135"/>
      <c r="J302" s="135"/>
      <c r="K302" s="135"/>
      <c r="L302" s="135"/>
      <c r="M302" s="101"/>
    </row>
    <row r="303" spans="1:21" ht="15.75" thickBot="1">
      <c r="A303" s="594" t="s">
        <v>438</v>
      </c>
      <c r="B303" s="469">
        <f>E309</f>
        <v>8.3039774999999985</v>
      </c>
      <c r="C303" s="95" t="s">
        <v>66</v>
      </c>
      <c r="H303" s="328" t="str">
        <f>A303</f>
        <v>ATTACHED BEAMS</v>
      </c>
      <c r="I303" s="469">
        <f>L309</f>
        <v>90.501319999999993</v>
      </c>
      <c r="J303" s="95" t="s">
        <v>84</v>
      </c>
      <c r="K303" s="211"/>
      <c r="O303" s="328" t="str">
        <f>H303</f>
        <v>ATTACHED BEAMS</v>
      </c>
      <c r="P303" s="472">
        <f>S309</f>
        <v>24.069499999999998</v>
      </c>
      <c r="Q303" s="130" t="s">
        <v>84</v>
      </c>
      <c r="R303" s="653"/>
      <c r="S303" s="134"/>
    </row>
    <row r="304" spans="1:21" ht="13.5" thickBot="1"/>
    <row r="305" spans="1:22" ht="13.5" thickBot="1">
      <c r="A305" s="329" t="s">
        <v>382</v>
      </c>
      <c r="B305" s="331" t="s">
        <v>383</v>
      </c>
      <c r="C305" s="331" t="s">
        <v>384</v>
      </c>
      <c r="D305" s="331" t="s">
        <v>385</v>
      </c>
      <c r="E305" s="332" t="s">
        <v>386</v>
      </c>
      <c r="H305" s="329" t="s">
        <v>382</v>
      </c>
      <c r="I305" s="331" t="s">
        <v>383</v>
      </c>
      <c r="J305" s="331" t="s">
        <v>384</v>
      </c>
      <c r="K305" s="468"/>
      <c r="L305" s="332" t="s">
        <v>387</v>
      </c>
      <c r="O305" s="463" t="s">
        <v>382</v>
      </c>
      <c r="P305" s="464" t="s">
        <v>291</v>
      </c>
      <c r="Q305" s="464" t="s">
        <v>383</v>
      </c>
      <c r="R305" s="651" t="s">
        <v>384</v>
      </c>
      <c r="S305" s="652" t="s">
        <v>408</v>
      </c>
    </row>
    <row r="306" spans="1:22">
      <c r="A306" s="82"/>
      <c r="B306" s="82"/>
      <c r="C306" s="82"/>
      <c r="D306" s="82"/>
      <c r="E306" s="82"/>
      <c r="H306" s="82"/>
      <c r="I306" s="82"/>
      <c r="J306" s="82"/>
      <c r="K306" s="82"/>
      <c r="L306" s="82"/>
      <c r="O306" s="82"/>
      <c r="P306" s="82"/>
      <c r="Q306" s="82"/>
      <c r="R306" s="213"/>
      <c r="S306" s="82"/>
    </row>
    <row r="307" spans="1:22" ht="15">
      <c r="A307" s="136" t="s">
        <v>470</v>
      </c>
      <c r="B307" s="78">
        <f>N312</f>
        <v>96.277999999999992</v>
      </c>
      <c r="C307" s="78">
        <v>0.25</v>
      </c>
      <c r="D307" s="78">
        <v>0.34499999999999997</v>
      </c>
      <c r="E307" s="79">
        <f>D307*C307*B307</f>
        <v>8.3039774999999985</v>
      </c>
      <c r="H307" s="123" t="str">
        <f t="shared" ref="H307" si="80">A307</f>
        <v>B1,B2,B3, B4 &amp; B5</v>
      </c>
      <c r="I307" s="78">
        <f t="shared" ref="I307" si="81">B307</f>
        <v>96.277999999999992</v>
      </c>
      <c r="J307" s="78">
        <f>C307+D307+D307</f>
        <v>0.94</v>
      </c>
      <c r="K307" s="78"/>
      <c r="L307" s="79">
        <f>J307*I307</f>
        <v>90.501319999999993</v>
      </c>
      <c r="O307" s="123" t="str">
        <f t="shared" ref="O307" si="82">H307</f>
        <v>B1,B2,B3, B4 &amp; B5</v>
      </c>
      <c r="P307" s="78">
        <v>1</v>
      </c>
      <c r="Q307" s="78">
        <f>I307</f>
        <v>96.277999999999992</v>
      </c>
      <c r="R307" s="78">
        <f>C307</f>
        <v>0.25</v>
      </c>
      <c r="S307" s="79">
        <f>R307*Q307*P307</f>
        <v>24.069499999999998</v>
      </c>
    </row>
    <row r="308" spans="1:22" ht="15.75" thickBot="1">
      <c r="A308" s="137"/>
      <c r="B308" s="80"/>
      <c r="C308" s="80"/>
      <c r="D308" s="80"/>
      <c r="E308" s="81"/>
      <c r="H308" s="124"/>
      <c r="I308" s="80"/>
      <c r="J308" s="80"/>
      <c r="K308" s="80"/>
      <c r="L308" s="81"/>
      <c r="O308" s="81"/>
      <c r="P308" s="80"/>
      <c r="Q308" s="80"/>
      <c r="R308" s="80"/>
      <c r="S308" s="80"/>
    </row>
    <row r="309" spans="1:22" ht="13.5" thickBot="1">
      <c r="A309" s="921" t="s">
        <v>393</v>
      </c>
      <c r="B309" s="922"/>
      <c r="C309" s="922"/>
      <c r="D309" s="923"/>
      <c r="E309" s="111">
        <f>SUM(E306:E308)</f>
        <v>8.3039774999999985</v>
      </c>
      <c r="H309" s="921" t="s">
        <v>393</v>
      </c>
      <c r="I309" s="922"/>
      <c r="J309" s="923"/>
      <c r="K309" s="205"/>
      <c r="L309" s="111">
        <f>SUM(L306:L308)</f>
        <v>90.501319999999993</v>
      </c>
      <c r="O309" s="921" t="s">
        <v>393</v>
      </c>
      <c r="P309" s="924"/>
      <c r="Q309" s="924"/>
      <c r="R309" s="925"/>
      <c r="S309" s="111">
        <f>SUM(S305:S308)</f>
        <v>24.069499999999998</v>
      </c>
    </row>
    <row r="310" spans="1:22" ht="15.75" thickBot="1">
      <c r="A310" s="102"/>
      <c r="F310" s="102"/>
      <c r="G310" s="99"/>
    </row>
    <row r="311" spans="1:22" ht="13.5" thickBot="1">
      <c r="A311" s="336" t="s">
        <v>440</v>
      </c>
    </row>
    <row r="312" spans="1:22" ht="13.5" thickBot="1">
      <c r="A312" s="103" t="str">
        <f>A307</f>
        <v>B1,B2,B3, B4 &amp; B5</v>
      </c>
      <c r="B312" s="100">
        <f>4.555+(2*2.45)+4.595+(2*1.95)</f>
        <v>17.95</v>
      </c>
      <c r="C312" s="100">
        <f>2.275+2.375</f>
        <v>4.6500000000000004</v>
      </c>
      <c r="D312" s="100">
        <f>4.045+(2*2.85)+(3*4.595)+5.395+4.587+4.262+(2*0.95)</f>
        <v>39.673999999999999</v>
      </c>
      <c r="E312" s="100">
        <f>1.15+(2*4.262)+4.145+2.275</f>
        <v>16.093999999999998</v>
      </c>
      <c r="F312" s="648">
        <f>(3*4.555)+4.245</f>
        <v>17.91</v>
      </c>
      <c r="G312" s="100"/>
      <c r="H312" s="100"/>
      <c r="I312" s="100"/>
      <c r="J312" s="100"/>
      <c r="K312" s="100"/>
      <c r="L312" s="100"/>
      <c r="M312" s="100"/>
      <c r="N312" s="649">
        <f>SUM(B312:M312)</f>
        <v>96.277999999999992</v>
      </c>
      <c r="O312" s="655"/>
      <c r="P312" s="656"/>
      <c r="Q312" s="656"/>
      <c r="R312" s="656"/>
      <c r="S312" s="656"/>
      <c r="T312" s="656"/>
      <c r="U312" s="657"/>
      <c r="V312" s="101"/>
    </row>
    <row r="313" spans="1:22" ht="15.75" thickBot="1">
      <c r="A313" s="322"/>
      <c r="N313" s="760"/>
      <c r="U313" s="101"/>
      <c r="V313" s="101"/>
    </row>
    <row r="314" spans="1:22" ht="13.5" thickBot="1"/>
    <row r="315" spans="1:22" ht="15.75" thickBot="1">
      <c r="A315" s="461" t="s">
        <v>441</v>
      </c>
      <c r="B315" s="469">
        <f>D323-D328</f>
        <v>-0.62644437500000016</v>
      </c>
      <c r="C315" s="95" t="s">
        <v>66</v>
      </c>
      <c r="H315" s="328" t="str">
        <f>A315</f>
        <v>SLAB</v>
      </c>
      <c r="I315" s="469">
        <f>L323-L328</f>
        <v>17.376472</v>
      </c>
      <c r="J315" s="95" t="s">
        <v>84</v>
      </c>
      <c r="K315" s="211"/>
    </row>
    <row r="316" spans="1:22" ht="13.5" thickBot="1"/>
    <row r="317" spans="1:22" ht="13.5" thickBot="1">
      <c r="A317" s="329" t="s">
        <v>382</v>
      </c>
      <c r="B317" s="331" t="s">
        <v>409</v>
      </c>
      <c r="C317" s="331" t="s">
        <v>385</v>
      </c>
      <c r="D317" s="331" t="s">
        <v>386</v>
      </c>
      <c r="H317" s="329" t="s">
        <v>382</v>
      </c>
      <c r="I317" s="331" t="s">
        <v>383</v>
      </c>
      <c r="J317" s="330" t="s">
        <v>442</v>
      </c>
      <c r="K317" s="468"/>
      <c r="L317" s="332" t="s">
        <v>443</v>
      </c>
    </row>
    <row r="318" spans="1:22" ht="13.5" thickBot="1">
      <c r="A318" s="213"/>
      <c r="B318" s="82"/>
      <c r="C318" s="82"/>
      <c r="D318" s="82"/>
      <c r="H318" s="213"/>
      <c r="I318" s="213"/>
      <c r="J318" s="82"/>
      <c r="K318" s="214"/>
      <c r="L318" s="215"/>
    </row>
    <row r="319" spans="1:22" ht="15.75" thickBot="1">
      <c r="A319" s="323" t="s">
        <v>444</v>
      </c>
      <c r="B319" s="72">
        <v>4.5999999999999996</v>
      </c>
      <c r="C319" s="78">
        <v>0.13500000000000001</v>
      </c>
      <c r="D319" s="79">
        <f>C319*B319</f>
        <v>0.621</v>
      </c>
      <c r="H319" s="74" t="str">
        <f>A319</f>
        <v>135mm tk Slab</v>
      </c>
      <c r="I319" s="74"/>
      <c r="J319" s="78"/>
      <c r="L319" s="660"/>
      <c r="N319" s="664"/>
    </row>
    <row r="320" spans="1:22" ht="15.75" thickBot="1">
      <c r="A320" s="323" t="s">
        <v>445</v>
      </c>
      <c r="B320" s="72">
        <v>4.5999999999999996</v>
      </c>
      <c r="C320" s="78">
        <v>0.13500000000000001</v>
      </c>
      <c r="D320" s="79">
        <f>C320*B320</f>
        <v>0.621</v>
      </c>
      <c r="H320" s="74" t="str">
        <f>A320</f>
        <v>150mm tk Slab</v>
      </c>
      <c r="I320" s="74"/>
      <c r="J320" s="78"/>
      <c r="L320" s="660"/>
    </row>
    <row r="321" spans="1:22" ht="15">
      <c r="A321" s="323" t="s">
        <v>471</v>
      </c>
      <c r="B321" s="72">
        <f>B335</f>
        <v>46.210070000000002</v>
      </c>
      <c r="C321" s="78">
        <v>0.02</v>
      </c>
      <c r="D321" s="79">
        <f>C321*B321</f>
        <v>0.92420140000000006</v>
      </c>
      <c r="H321" s="216" t="str">
        <f>A321</f>
        <v>170mm tk Slab</v>
      </c>
      <c r="I321" s="74">
        <f>B321</f>
        <v>46.210070000000002</v>
      </c>
      <c r="J321" s="78">
        <v>0</v>
      </c>
      <c r="K321" s="96"/>
      <c r="L321" s="217">
        <f>I321</f>
        <v>46.210070000000002</v>
      </c>
    </row>
    <row r="322" spans="1:22" ht="15.75" thickBot="1">
      <c r="A322" s="323"/>
      <c r="B322" s="78"/>
      <c r="C322" s="78"/>
      <c r="D322" s="79"/>
      <c r="H322" s="323" t="s">
        <v>446</v>
      </c>
      <c r="I322" s="74">
        <f>L341+L342</f>
        <v>61.264000000000003</v>
      </c>
      <c r="J322" s="78">
        <v>0.155</v>
      </c>
      <c r="L322" s="217">
        <f>J322*I322</f>
        <v>9.4959199999999999</v>
      </c>
    </row>
    <row r="323" spans="1:22" ht="15.75" thickBot="1">
      <c r="A323" s="216"/>
      <c r="B323" s="78"/>
      <c r="C323" s="78"/>
      <c r="D323" s="224">
        <f>SUM(D319:D321)</f>
        <v>2.1662014000000003</v>
      </c>
      <c r="H323" s="216"/>
      <c r="I323" s="74"/>
      <c r="J323" s="78"/>
      <c r="L323" s="224">
        <f>SUM(L321:L322)</f>
        <v>55.70599</v>
      </c>
    </row>
    <row r="324" spans="1:22" ht="15">
      <c r="A324" s="218" t="s">
        <v>447</v>
      </c>
      <c r="B324" s="78"/>
      <c r="C324" s="78"/>
      <c r="D324" s="217"/>
      <c r="H324" s="218" t="s">
        <v>447</v>
      </c>
      <c r="I324" s="74"/>
      <c r="J324" s="78"/>
      <c r="L324" s="217"/>
    </row>
    <row r="325" spans="1:22" ht="15">
      <c r="A325" s="323" t="s">
        <v>468</v>
      </c>
      <c r="B325" s="72">
        <f>L337</f>
        <v>6.426247</v>
      </c>
      <c r="C325" s="78">
        <v>0.13500000000000001</v>
      </c>
      <c r="D325" s="79">
        <f>C325*B325</f>
        <v>0.86754334500000008</v>
      </c>
      <c r="H325" s="216" t="s">
        <v>449</v>
      </c>
      <c r="I325" s="74">
        <v>1</v>
      </c>
      <c r="J325" s="78">
        <v>0</v>
      </c>
      <c r="L325" s="217">
        <f>J325*I325</f>
        <v>0</v>
      </c>
    </row>
    <row r="326" spans="1:22" ht="15">
      <c r="A326" s="323" t="s">
        <v>450</v>
      </c>
      <c r="B326" s="78">
        <f>L338</f>
        <v>8.6900180000000002</v>
      </c>
      <c r="C326" s="78">
        <v>0.13500000000000001</v>
      </c>
      <c r="D326" s="217">
        <f>C326*B326</f>
        <v>1.17315243</v>
      </c>
      <c r="H326" s="216" t="s">
        <v>451</v>
      </c>
      <c r="I326" s="74">
        <v>1</v>
      </c>
      <c r="J326" s="78">
        <f>B326</f>
        <v>8.6900180000000002</v>
      </c>
      <c r="L326" s="217">
        <f>J326*I326</f>
        <v>8.6900180000000002</v>
      </c>
    </row>
    <row r="327" spans="1:22" ht="15.75" thickBot="1">
      <c r="A327" s="323" t="s">
        <v>452</v>
      </c>
      <c r="B327" s="78">
        <f>P292</f>
        <v>5.57</v>
      </c>
      <c r="C327" s="78">
        <v>0.13500000000000001</v>
      </c>
      <c r="D327" s="217">
        <f>C327*B327</f>
        <v>0.75195000000000012</v>
      </c>
      <c r="H327" s="323" t="s">
        <v>453</v>
      </c>
      <c r="I327" s="74">
        <v>1</v>
      </c>
      <c r="J327" s="78">
        <f>P303+P292</f>
        <v>29.639499999999998</v>
      </c>
      <c r="L327" s="217">
        <f>J327*I327</f>
        <v>29.639499999999998</v>
      </c>
      <c r="M327" s="223"/>
    </row>
    <row r="328" spans="1:22" ht="15.75" thickBot="1">
      <c r="A328" s="216"/>
      <c r="B328" s="78"/>
      <c r="C328" s="78"/>
      <c r="D328" s="224">
        <f>SUM(D325:D327)</f>
        <v>2.7926457750000004</v>
      </c>
      <c r="H328" s="216"/>
      <c r="I328" s="74"/>
      <c r="J328" s="78"/>
      <c r="L328" s="224">
        <f>SUM(L325:L327)</f>
        <v>38.329518</v>
      </c>
    </row>
    <row r="329" spans="1:22" ht="13.5" thickBot="1">
      <c r="A329" s="219"/>
      <c r="B329" s="80"/>
      <c r="C329" s="80"/>
      <c r="D329" s="221"/>
      <c r="H329" s="219"/>
      <c r="I329" s="219"/>
      <c r="J329" s="80"/>
      <c r="K329" s="220"/>
      <c r="L329" s="221"/>
    </row>
    <row r="330" spans="1:22" ht="13.5" thickBot="1"/>
    <row r="331" spans="1:22" ht="13.5" thickBot="1">
      <c r="A331" s="111" t="s">
        <v>454</v>
      </c>
    </row>
    <row r="332" spans="1:22" ht="13.5" thickBot="1"/>
    <row r="333" spans="1:22" ht="13.5" thickBot="1">
      <c r="A333" s="103" t="str">
        <f>A319</f>
        <v>135mm tk Slab</v>
      </c>
      <c r="B333" s="100">
        <f>168.386-4.621007</f>
        <v>163.764993</v>
      </c>
      <c r="C333" s="100">
        <v>0</v>
      </c>
      <c r="D333" s="100">
        <v>0</v>
      </c>
      <c r="E333" s="100">
        <v>0</v>
      </c>
      <c r="F333" s="100">
        <v>0</v>
      </c>
      <c r="G333" s="100">
        <v>0</v>
      </c>
      <c r="H333" s="100">
        <v>0</v>
      </c>
      <c r="I333" s="100">
        <v>0</v>
      </c>
      <c r="J333" s="100">
        <v>0</v>
      </c>
      <c r="K333" s="100"/>
      <c r="L333" s="455">
        <f>SUM(B333:J333)</f>
        <v>163.764993</v>
      </c>
    </row>
    <row r="334" spans="1:22" ht="13.5" thickBot="1">
      <c r="A334" s="323" t="str">
        <f>A320</f>
        <v>150mm tk Slab</v>
      </c>
      <c r="B334" s="100">
        <v>2.3302499999999999</v>
      </c>
      <c r="C334" s="100"/>
      <c r="D334" s="100"/>
      <c r="E334" s="100"/>
      <c r="F334" s="100"/>
      <c r="G334" s="100"/>
      <c r="H334" s="100"/>
      <c r="I334" s="100"/>
      <c r="J334" s="100"/>
      <c r="K334" s="100"/>
      <c r="L334" s="455"/>
    </row>
    <row r="335" spans="1:22" ht="15">
      <c r="A335" s="103" t="str">
        <f>A321</f>
        <v>170mm tk Slab</v>
      </c>
      <c r="B335" s="100">
        <v>46.210070000000002</v>
      </c>
      <c r="C335" s="100">
        <v>0</v>
      </c>
      <c r="D335" s="100">
        <v>0</v>
      </c>
      <c r="E335" s="100">
        <v>0</v>
      </c>
      <c r="F335" s="100">
        <v>0</v>
      </c>
      <c r="G335" s="100">
        <v>0</v>
      </c>
      <c r="H335" s="100">
        <v>0</v>
      </c>
      <c r="I335" s="100">
        <v>0</v>
      </c>
      <c r="J335" s="100">
        <v>0</v>
      </c>
      <c r="K335" s="100"/>
      <c r="L335" s="455">
        <f>SUM(B335:J335)</f>
        <v>46.210070000000002</v>
      </c>
      <c r="M335" s="595"/>
      <c r="N335" s="760"/>
      <c r="V335" s="101"/>
    </row>
    <row r="336" spans="1:22" ht="15.75" thickBot="1">
      <c r="A336" s="222" t="str">
        <f>A324</f>
        <v>Deduction</v>
      </c>
    </row>
    <row r="337" spans="1:22" ht="15.75" thickBot="1">
      <c r="A337" s="103" t="str">
        <f>A325</f>
        <v>Artium Voids</v>
      </c>
      <c r="B337" s="100">
        <f>B270</f>
        <v>6.426247</v>
      </c>
      <c r="C337" s="100">
        <v>0</v>
      </c>
      <c r="D337" s="100">
        <v>0</v>
      </c>
      <c r="E337" s="100">
        <v>0</v>
      </c>
      <c r="F337" s="100">
        <v>0</v>
      </c>
      <c r="G337" s="100">
        <v>0</v>
      </c>
      <c r="H337" s="100">
        <v>0</v>
      </c>
      <c r="I337" s="100">
        <v>0</v>
      </c>
      <c r="J337" s="100">
        <v>0</v>
      </c>
      <c r="K337" s="100"/>
      <c r="L337" s="455">
        <f>SUM(B337:J337)</f>
        <v>6.426247</v>
      </c>
      <c r="M337" s="595"/>
      <c r="N337" s="760"/>
      <c r="V337" s="101"/>
    </row>
    <row r="338" spans="1:22" ht="15">
      <c r="A338" s="103" t="str">
        <f>A326</f>
        <v>Stair Well &amp; Voids</v>
      </c>
      <c r="B338" s="100">
        <f>B271+1.371259</f>
        <v>8.6900180000000002</v>
      </c>
      <c r="C338" s="100">
        <v>0</v>
      </c>
      <c r="D338" s="100">
        <v>0</v>
      </c>
      <c r="E338" s="100">
        <v>0</v>
      </c>
      <c r="F338" s="100">
        <v>0</v>
      </c>
      <c r="G338" s="100">
        <v>0</v>
      </c>
      <c r="H338" s="100">
        <v>0</v>
      </c>
      <c r="I338" s="100">
        <v>0</v>
      </c>
      <c r="J338" s="100">
        <v>0</v>
      </c>
      <c r="K338" s="100"/>
      <c r="L338" s="455">
        <f>SUM(B338:J338)</f>
        <v>8.6900180000000002</v>
      </c>
      <c r="M338" s="595"/>
      <c r="N338" s="760"/>
      <c r="V338" s="101"/>
    </row>
    <row r="339" spans="1:22" ht="13.5" thickBot="1"/>
    <row r="340" spans="1:22" ht="13.5" thickBot="1">
      <c r="A340" s="336" t="s">
        <v>455</v>
      </c>
    </row>
    <row r="341" spans="1:22" ht="15.75" thickBot="1">
      <c r="A341" s="103" t="s">
        <v>456</v>
      </c>
      <c r="B341" s="100">
        <v>51.264000000000003</v>
      </c>
      <c r="C341" s="100">
        <v>0</v>
      </c>
      <c r="D341" s="100">
        <v>0</v>
      </c>
      <c r="E341" s="100">
        <v>0</v>
      </c>
      <c r="F341" s="100">
        <v>0</v>
      </c>
      <c r="G341" s="100">
        <v>0</v>
      </c>
      <c r="H341" s="100">
        <v>0</v>
      </c>
      <c r="I341" s="100">
        <v>0</v>
      </c>
      <c r="J341" s="100">
        <v>0</v>
      </c>
      <c r="K341" s="100"/>
      <c r="L341" s="455">
        <f>SUM(B341:J341)</f>
        <v>51.264000000000003</v>
      </c>
      <c r="M341" s="595"/>
      <c r="N341" s="760"/>
      <c r="V341" s="101"/>
    </row>
    <row r="342" spans="1:22" ht="15.75" thickBot="1">
      <c r="A342" s="103" t="s">
        <v>457</v>
      </c>
      <c r="B342" s="100">
        <v>10</v>
      </c>
      <c r="C342" s="100">
        <v>0</v>
      </c>
      <c r="D342" s="100">
        <v>0</v>
      </c>
      <c r="E342" s="100">
        <v>0</v>
      </c>
      <c r="F342" s="100">
        <v>0</v>
      </c>
      <c r="G342" s="100">
        <v>0</v>
      </c>
      <c r="H342" s="100">
        <v>0</v>
      </c>
      <c r="I342" s="100">
        <v>0</v>
      </c>
      <c r="J342" s="100">
        <v>0</v>
      </c>
      <c r="K342" s="100"/>
      <c r="L342" s="455">
        <f>SUM(B342:J342)</f>
        <v>10</v>
      </c>
      <c r="M342" s="595"/>
      <c r="N342" s="760"/>
      <c r="V342" s="101"/>
    </row>
    <row r="343" spans="1:22" ht="15">
      <c r="A343" s="103" t="s">
        <v>458</v>
      </c>
      <c r="B343" s="100">
        <f>6.43+1.8525+4.81</f>
        <v>13.092499999999998</v>
      </c>
      <c r="C343" s="100">
        <v>0</v>
      </c>
      <c r="D343" s="100">
        <v>0</v>
      </c>
      <c r="E343" s="100">
        <v>0</v>
      </c>
      <c r="F343" s="100">
        <v>0</v>
      </c>
      <c r="G343" s="100">
        <v>0</v>
      </c>
      <c r="H343" s="100">
        <v>0</v>
      </c>
      <c r="I343" s="100">
        <v>0</v>
      </c>
      <c r="J343" s="100">
        <v>0</v>
      </c>
      <c r="K343" s="100"/>
      <c r="L343" s="455">
        <f>SUM(B343:J343)</f>
        <v>13.092499999999998</v>
      </c>
      <c r="M343" s="595"/>
      <c r="N343" s="760"/>
      <c r="V343" s="101"/>
    </row>
    <row r="344" spans="1:22" ht="13.5" thickBot="1"/>
    <row r="345" spans="1:22" ht="15.75" thickBot="1">
      <c r="A345" s="461" t="s">
        <v>459</v>
      </c>
      <c r="B345" s="469">
        <f>E356</f>
        <v>1.6418800000000002</v>
      </c>
      <c r="C345" s="95" t="s">
        <v>66</v>
      </c>
      <c r="E345" s="659"/>
      <c r="F345" s="662"/>
      <c r="G345" s="662"/>
      <c r="H345" s="662"/>
    </row>
    <row r="346" spans="1:22" ht="13.5" thickBot="1"/>
    <row r="347" spans="1:22" ht="13.5" thickBot="1">
      <c r="A347" s="329" t="s">
        <v>382</v>
      </c>
      <c r="B347" s="331" t="s">
        <v>383</v>
      </c>
      <c r="C347" s="331" t="s">
        <v>384</v>
      </c>
      <c r="D347" s="330" t="s">
        <v>460</v>
      </c>
      <c r="E347" s="332" t="s">
        <v>386</v>
      </c>
    </row>
    <row r="348" spans="1:22">
      <c r="A348" s="82"/>
      <c r="B348" s="82"/>
      <c r="C348" s="82"/>
      <c r="D348" s="82"/>
      <c r="E348" s="82"/>
    </row>
    <row r="349" spans="1:22" ht="15">
      <c r="A349" s="72" t="s">
        <v>461</v>
      </c>
      <c r="B349" s="78">
        <f t="shared" ref="B349:D353" si="83">B282</f>
        <v>2.2000000000000002</v>
      </c>
      <c r="C349" s="78">
        <f t="shared" si="83"/>
        <v>1</v>
      </c>
      <c r="D349" s="78">
        <f t="shared" si="83"/>
        <v>0.15</v>
      </c>
      <c r="E349" s="79">
        <f>D349*C349*B349</f>
        <v>0.33</v>
      </c>
    </row>
    <row r="350" spans="1:22" ht="15">
      <c r="A350" s="72" t="s">
        <v>462</v>
      </c>
      <c r="B350" s="78">
        <f t="shared" si="83"/>
        <v>2.2000000000000002</v>
      </c>
      <c r="C350" s="78">
        <f t="shared" si="83"/>
        <v>1</v>
      </c>
      <c r="D350" s="78">
        <f t="shared" si="83"/>
        <v>0.15</v>
      </c>
      <c r="E350" s="79">
        <f>D350*C350*B350</f>
        <v>0.33</v>
      </c>
    </row>
    <row r="351" spans="1:22" ht="15">
      <c r="A351" s="72" t="s">
        <v>463</v>
      </c>
      <c r="B351" s="78">
        <f t="shared" si="83"/>
        <v>4</v>
      </c>
      <c r="C351" s="78">
        <f t="shared" si="83"/>
        <v>0.9</v>
      </c>
      <c r="D351" s="78">
        <f t="shared" si="83"/>
        <v>0.15</v>
      </c>
      <c r="E351" s="79">
        <f t="shared" ref="E351" si="84">D351*C351*B351</f>
        <v>0.54</v>
      </c>
    </row>
    <row r="352" spans="1:22" ht="15">
      <c r="A352" s="72" t="s">
        <v>464</v>
      </c>
      <c r="B352" s="78">
        <f t="shared" si="83"/>
        <v>0</v>
      </c>
      <c r="C352" s="78">
        <f t="shared" si="83"/>
        <v>0</v>
      </c>
      <c r="D352" s="78">
        <f t="shared" si="83"/>
        <v>0</v>
      </c>
      <c r="E352" s="79">
        <f>D352*C352</f>
        <v>0</v>
      </c>
    </row>
    <row r="353" spans="1:21" ht="15">
      <c r="A353" s="72" t="s">
        <v>465</v>
      </c>
      <c r="B353" s="78">
        <f t="shared" si="83"/>
        <v>0.97499999999999998</v>
      </c>
      <c r="C353" s="78">
        <f t="shared" si="83"/>
        <v>0</v>
      </c>
      <c r="D353" s="78">
        <f t="shared" si="83"/>
        <v>0.1968</v>
      </c>
      <c r="E353" s="79">
        <f>D353*B353</f>
        <v>0.19188</v>
      </c>
    </row>
    <row r="354" spans="1:21" ht="15">
      <c r="A354" s="72" t="s">
        <v>407</v>
      </c>
      <c r="B354" s="78"/>
      <c r="C354" s="78"/>
      <c r="D354" s="78"/>
      <c r="E354" s="79">
        <v>0.25</v>
      </c>
    </row>
    <row r="355" spans="1:21" ht="15.75" thickBot="1">
      <c r="A355" s="137"/>
      <c r="B355" s="80"/>
      <c r="C355" s="80"/>
      <c r="D355" s="80"/>
      <c r="E355" s="81"/>
    </row>
    <row r="356" spans="1:21" ht="13.5" thickBot="1">
      <c r="A356" s="921" t="s">
        <v>393</v>
      </c>
      <c r="B356" s="922"/>
      <c r="C356" s="922"/>
      <c r="D356" s="923"/>
      <c r="E356" s="111">
        <f>SUM(E348:E355)</f>
        <v>1.6418800000000002</v>
      </c>
    </row>
    <row r="357" spans="1:21" ht="13.5" thickBot="1"/>
    <row r="358" spans="1:21" ht="15.75" thickBot="1">
      <c r="A358" s="587" t="s">
        <v>472</v>
      </c>
      <c r="C358" s="659"/>
    </row>
    <row r="359" spans="1:21" ht="15.75" thickBot="1">
      <c r="A359" s="328" t="s">
        <v>421</v>
      </c>
      <c r="B359" s="471">
        <f>F367</f>
        <v>1.9470000000000005</v>
      </c>
      <c r="C359" s="95" t="s">
        <v>66</v>
      </c>
      <c r="D359" s="451" t="s">
        <v>385</v>
      </c>
      <c r="E359" s="459">
        <v>2.95</v>
      </c>
      <c r="F359" s="121" t="s">
        <v>422</v>
      </c>
      <c r="H359" s="328" t="str">
        <f>A359</f>
        <v>COLUMN</v>
      </c>
      <c r="I359" s="472">
        <f>M367</f>
        <v>18.880000000000003</v>
      </c>
      <c r="J359" s="130" t="s">
        <v>84</v>
      </c>
      <c r="K359" s="130"/>
      <c r="L359" s="462" t="s">
        <v>385</v>
      </c>
      <c r="M359" s="452">
        <f>E359</f>
        <v>2.95</v>
      </c>
      <c r="N359" s="126" t="s">
        <v>422</v>
      </c>
      <c r="O359" s="328" t="str">
        <f>H359</f>
        <v>COLUMN</v>
      </c>
      <c r="P359" s="472">
        <f>S367</f>
        <v>3.72</v>
      </c>
      <c r="Q359" s="130" t="s">
        <v>84</v>
      </c>
      <c r="R359" s="653"/>
      <c r="S359" s="134"/>
      <c r="T359" s="654"/>
      <c r="U359" s="106"/>
    </row>
    <row r="360" spans="1:21" ht="13.5" thickBot="1"/>
    <row r="361" spans="1:21" s="127" customFormat="1" ht="16.5" customHeight="1" thickBot="1">
      <c r="A361" s="463" t="s">
        <v>382</v>
      </c>
      <c r="B361" s="464" t="s">
        <v>291</v>
      </c>
      <c r="C361" s="464" t="s">
        <v>383</v>
      </c>
      <c r="D361" s="464" t="s">
        <v>384</v>
      </c>
      <c r="E361" s="464" t="s">
        <v>385</v>
      </c>
      <c r="F361" s="465" t="s">
        <v>386</v>
      </c>
      <c r="H361" s="463" t="s">
        <v>382</v>
      </c>
      <c r="I361" s="464" t="s">
        <v>291</v>
      </c>
      <c r="J361" s="464" t="s">
        <v>383</v>
      </c>
      <c r="K361" s="464"/>
      <c r="L361" s="466" t="s">
        <v>385</v>
      </c>
      <c r="M361" s="467" t="s">
        <v>408</v>
      </c>
      <c r="O361" s="463" t="s">
        <v>382</v>
      </c>
      <c r="P361" s="464" t="s">
        <v>291</v>
      </c>
      <c r="Q361" s="464" t="s">
        <v>383</v>
      </c>
      <c r="R361" s="651" t="s">
        <v>384</v>
      </c>
      <c r="S361" s="652" t="s">
        <v>408</v>
      </c>
      <c r="T361" s="650"/>
    </row>
    <row r="362" spans="1:21">
      <c r="A362" s="82"/>
      <c r="B362" s="82"/>
      <c r="C362" s="82"/>
      <c r="D362" s="82"/>
      <c r="E362" s="82"/>
      <c r="F362" s="82"/>
      <c r="H362" s="82"/>
      <c r="I362" s="82"/>
      <c r="J362" s="82"/>
      <c r="K362" s="82"/>
      <c r="L362" s="82"/>
      <c r="M362" s="82"/>
      <c r="O362" s="82"/>
      <c r="P362" s="82"/>
      <c r="Q362" s="82"/>
      <c r="R362" s="213"/>
      <c r="S362" s="82"/>
      <c r="T362" s="74"/>
    </row>
    <row r="363" spans="1:21" ht="15">
      <c r="A363" s="123" t="s">
        <v>423</v>
      </c>
      <c r="B363" s="78">
        <v>3</v>
      </c>
      <c r="C363" s="78">
        <v>0.2</v>
      </c>
      <c r="D363" s="78">
        <v>0.2</v>
      </c>
      <c r="E363" s="78">
        <f>E359</f>
        <v>2.95</v>
      </c>
      <c r="F363" s="79">
        <f>E363*D363*C363*B363</f>
        <v>0.35400000000000009</v>
      </c>
      <c r="H363" s="123" t="str">
        <f t="shared" ref="H363:H364" si="85">A363</f>
        <v>C1</v>
      </c>
      <c r="I363" s="78">
        <f t="shared" ref="I363:I364" si="86">B363</f>
        <v>3</v>
      </c>
      <c r="J363" s="78">
        <f>2*(C363+D363)</f>
        <v>0.8</v>
      </c>
      <c r="K363" s="78"/>
      <c r="L363" s="78">
        <f>M359</f>
        <v>2.95</v>
      </c>
      <c r="M363" s="79">
        <f>L363*J363*I363</f>
        <v>7.080000000000001</v>
      </c>
      <c r="O363" s="123" t="str">
        <f t="shared" ref="O363:O364" si="87">H363</f>
        <v>C1</v>
      </c>
      <c r="P363" s="78">
        <f>I363</f>
        <v>3</v>
      </c>
      <c r="Q363" s="78">
        <f>C363</f>
        <v>0.2</v>
      </c>
      <c r="R363" s="74">
        <f>D363</f>
        <v>0.2</v>
      </c>
      <c r="S363" s="79">
        <f>P363*Q363*R363</f>
        <v>0.12000000000000002</v>
      </c>
      <c r="T363" s="576"/>
    </row>
    <row r="364" spans="1:21" ht="15">
      <c r="A364" s="123" t="s">
        <v>424</v>
      </c>
      <c r="B364" s="78">
        <v>4</v>
      </c>
      <c r="C364" s="78">
        <v>0.3</v>
      </c>
      <c r="D364" s="78">
        <v>0.2</v>
      </c>
      <c r="E364" s="78">
        <f>E359</f>
        <v>2.95</v>
      </c>
      <c r="F364" s="79">
        <f>E364*D364*C364*B364</f>
        <v>0.70800000000000007</v>
      </c>
      <c r="H364" s="123" t="str">
        <f t="shared" si="85"/>
        <v>C2</v>
      </c>
      <c r="I364" s="78">
        <f t="shared" si="86"/>
        <v>4</v>
      </c>
      <c r="J364" s="78">
        <f t="shared" ref="J364" si="88">2*(C364+D364)</f>
        <v>1</v>
      </c>
      <c r="K364" s="78"/>
      <c r="L364" s="78">
        <f>M359</f>
        <v>2.95</v>
      </c>
      <c r="M364" s="79">
        <f>L364*J364*I364</f>
        <v>11.8</v>
      </c>
      <c r="O364" s="123" t="str">
        <f t="shared" si="87"/>
        <v>C2</v>
      </c>
      <c r="P364" s="78">
        <f>I364</f>
        <v>4</v>
      </c>
      <c r="Q364" s="78">
        <f t="shared" ref="Q364" si="89">2*(J364+K364)</f>
        <v>2</v>
      </c>
      <c r="R364" s="74">
        <f t="shared" ref="R364" si="90">D364</f>
        <v>0.2</v>
      </c>
      <c r="S364" s="79">
        <f>P364*Q364*R364</f>
        <v>1.6</v>
      </c>
      <c r="T364" s="576"/>
    </row>
    <row r="365" spans="1:21" ht="15">
      <c r="A365" s="123" t="s">
        <v>425</v>
      </c>
      <c r="B365" s="78">
        <v>5</v>
      </c>
      <c r="C365" s="78">
        <v>0.3</v>
      </c>
      <c r="D365" s="78">
        <v>0.2</v>
      </c>
      <c r="E365" s="78">
        <f>E359</f>
        <v>2.95</v>
      </c>
      <c r="F365" s="79">
        <f>E365*D365*C365*B365</f>
        <v>0.88500000000000012</v>
      </c>
      <c r="H365" s="123" t="str">
        <f t="shared" ref="H365" si="91">A365</f>
        <v>C3</v>
      </c>
      <c r="I365" s="78">
        <f t="shared" ref="I365" si="92">B365</f>
        <v>5</v>
      </c>
      <c r="J365" s="78">
        <f t="shared" ref="J365" si="93">2*(C365+D365)</f>
        <v>1</v>
      </c>
      <c r="K365" s="78"/>
      <c r="L365" s="78">
        <f>M360</f>
        <v>0</v>
      </c>
      <c r="M365" s="79">
        <f>L365*J365*I365</f>
        <v>0</v>
      </c>
      <c r="O365" s="123" t="str">
        <f t="shared" ref="O365" si="94">H365</f>
        <v>C3</v>
      </c>
      <c r="P365" s="78">
        <f>I365</f>
        <v>5</v>
      </c>
      <c r="Q365" s="78">
        <f t="shared" ref="Q365" si="95">2*(J365+K365)</f>
        <v>2</v>
      </c>
      <c r="R365" s="74">
        <f t="shared" ref="R365" si="96">D365</f>
        <v>0.2</v>
      </c>
      <c r="S365" s="79">
        <f>P365*Q365*R365</f>
        <v>2</v>
      </c>
      <c r="T365" s="576"/>
    </row>
    <row r="366" spans="1:21" ht="15.75" thickBot="1">
      <c r="A366" s="123"/>
      <c r="B366" s="78"/>
      <c r="C366" s="78"/>
      <c r="D366" s="78"/>
      <c r="E366" s="78"/>
      <c r="F366" s="79"/>
      <c r="H366" s="124"/>
      <c r="I366" s="80"/>
      <c r="J366" s="80"/>
      <c r="K366" s="80"/>
      <c r="L366" s="80"/>
      <c r="M366" s="81"/>
      <c r="O366" s="124"/>
      <c r="P366" s="80"/>
      <c r="Q366" s="80"/>
      <c r="R366" s="219"/>
      <c r="S366" s="81"/>
      <c r="T366" s="576"/>
    </row>
    <row r="367" spans="1:21" ht="13.5" thickBot="1">
      <c r="A367" s="921" t="s">
        <v>393</v>
      </c>
      <c r="B367" s="922"/>
      <c r="C367" s="922"/>
      <c r="D367" s="922"/>
      <c r="E367" s="923"/>
      <c r="F367" s="111">
        <f>SUM(F362:F366)</f>
        <v>1.9470000000000005</v>
      </c>
      <c r="H367" s="921" t="s">
        <v>393</v>
      </c>
      <c r="I367" s="922"/>
      <c r="J367" s="922"/>
      <c r="K367" s="922"/>
      <c r="L367" s="923"/>
      <c r="M367" s="111">
        <f>SUM(M362:M366)</f>
        <v>18.880000000000003</v>
      </c>
      <c r="O367" s="921" t="s">
        <v>393</v>
      </c>
      <c r="P367" s="924"/>
      <c r="Q367" s="924"/>
      <c r="R367" s="925"/>
      <c r="S367" s="111">
        <f>SUM(S362:S366)</f>
        <v>3.72</v>
      </c>
      <c r="T367" s="260"/>
    </row>
    <row r="368" spans="1:21">
      <c r="A368" s="134"/>
      <c r="B368" s="135"/>
      <c r="C368" s="135"/>
      <c r="D368" s="135"/>
      <c r="E368" s="135"/>
      <c r="F368" s="101"/>
      <c r="H368" s="134"/>
      <c r="I368" s="135"/>
      <c r="J368" s="135"/>
      <c r="K368" s="135"/>
      <c r="L368" s="135"/>
      <c r="M368" s="101"/>
    </row>
    <row r="369" spans="1:22" ht="13.5" thickBot="1">
      <c r="A369" s="134"/>
      <c r="B369" s="135"/>
      <c r="C369" s="135"/>
      <c r="D369" s="135"/>
      <c r="E369" s="135"/>
      <c r="F369" s="101"/>
      <c r="H369" s="134"/>
      <c r="I369" s="135"/>
      <c r="J369" s="135"/>
      <c r="K369" s="135"/>
      <c r="L369" s="135"/>
      <c r="M369" s="101"/>
    </row>
    <row r="370" spans="1:22" ht="15.75" thickBot="1">
      <c r="A370" s="594" t="s">
        <v>438</v>
      </c>
      <c r="B370" s="469">
        <f>E376</f>
        <v>1.8767199999999999</v>
      </c>
      <c r="C370" s="95" t="s">
        <v>66</v>
      </c>
      <c r="H370" s="328" t="str">
        <f>A370</f>
        <v>ATTACHED BEAMS</v>
      </c>
      <c r="I370" s="469">
        <f>L376</f>
        <v>23.458999999999996</v>
      </c>
      <c r="J370" s="95" t="s">
        <v>84</v>
      </c>
      <c r="K370" s="211"/>
      <c r="O370" s="328" t="str">
        <f>H370</f>
        <v>ATTACHED BEAMS</v>
      </c>
      <c r="P370" s="472">
        <f>S376</f>
        <v>4.6917999999999997</v>
      </c>
      <c r="Q370" s="130" t="s">
        <v>84</v>
      </c>
      <c r="R370" s="653"/>
      <c r="S370" s="134"/>
    </row>
    <row r="371" spans="1:22" ht="13.5" thickBot="1"/>
    <row r="372" spans="1:22" ht="13.5" thickBot="1">
      <c r="A372" s="329" t="s">
        <v>382</v>
      </c>
      <c r="B372" s="331" t="s">
        <v>383</v>
      </c>
      <c r="C372" s="331" t="s">
        <v>384</v>
      </c>
      <c r="D372" s="331" t="s">
        <v>385</v>
      </c>
      <c r="E372" s="332" t="s">
        <v>386</v>
      </c>
      <c r="H372" s="329" t="s">
        <v>382</v>
      </c>
      <c r="I372" s="331" t="s">
        <v>383</v>
      </c>
      <c r="J372" s="331" t="s">
        <v>384</v>
      </c>
      <c r="K372" s="468"/>
      <c r="L372" s="332" t="s">
        <v>387</v>
      </c>
      <c r="O372" s="463" t="s">
        <v>382</v>
      </c>
      <c r="P372" s="464" t="s">
        <v>291</v>
      </c>
      <c r="Q372" s="464" t="s">
        <v>383</v>
      </c>
      <c r="R372" s="651" t="s">
        <v>384</v>
      </c>
      <c r="S372" s="652" t="s">
        <v>408</v>
      </c>
    </row>
    <row r="373" spans="1:22">
      <c r="A373" s="82"/>
      <c r="B373" s="82"/>
      <c r="C373" s="82"/>
      <c r="D373" s="82"/>
      <c r="E373" s="82"/>
      <c r="H373" s="82"/>
      <c r="I373" s="82"/>
      <c r="J373" s="82"/>
      <c r="K373" s="82"/>
      <c r="L373" s="82"/>
      <c r="O373" s="82"/>
      <c r="P373" s="82"/>
      <c r="Q373" s="82"/>
      <c r="R373" s="213"/>
      <c r="S373" s="82"/>
    </row>
    <row r="374" spans="1:22" ht="15">
      <c r="A374" s="136" t="s">
        <v>473</v>
      </c>
      <c r="B374" s="78">
        <f>N379</f>
        <v>23.458999999999996</v>
      </c>
      <c r="C374" s="78">
        <v>0.2</v>
      </c>
      <c r="D374" s="78">
        <v>0.4</v>
      </c>
      <c r="E374" s="79">
        <f>D374*C374*B374</f>
        <v>1.8767199999999999</v>
      </c>
      <c r="H374" s="123" t="str">
        <f t="shared" ref="H374" si="97">A374</f>
        <v>B1,B2</v>
      </c>
      <c r="I374" s="78">
        <f t="shared" ref="I374" si="98">B374</f>
        <v>23.458999999999996</v>
      </c>
      <c r="J374" s="78">
        <f>C374+D374+D374</f>
        <v>1</v>
      </c>
      <c r="K374" s="78"/>
      <c r="L374" s="79">
        <f>J374*I374</f>
        <v>23.458999999999996</v>
      </c>
      <c r="O374" s="123" t="str">
        <f t="shared" ref="O374" si="99">H374</f>
        <v>B1,B2</v>
      </c>
      <c r="P374" s="78">
        <v>1</v>
      </c>
      <c r="Q374" s="78">
        <f>I374</f>
        <v>23.458999999999996</v>
      </c>
      <c r="R374" s="78">
        <f>C374</f>
        <v>0.2</v>
      </c>
      <c r="S374" s="79">
        <f>R374*Q374*P374</f>
        <v>4.6917999999999997</v>
      </c>
    </row>
    <row r="375" spans="1:22" ht="15.75" thickBot="1">
      <c r="A375" s="137"/>
      <c r="B375" s="80"/>
      <c r="C375" s="80"/>
      <c r="D375" s="80"/>
      <c r="E375" s="81"/>
      <c r="H375" s="124"/>
      <c r="I375" s="80"/>
      <c r="J375" s="80"/>
      <c r="K375" s="80"/>
      <c r="L375" s="81"/>
      <c r="O375" s="81"/>
      <c r="P375" s="80"/>
      <c r="Q375" s="80"/>
      <c r="R375" s="80"/>
      <c r="S375" s="80"/>
    </row>
    <row r="376" spans="1:22" ht="13.5" thickBot="1">
      <c r="A376" s="921" t="s">
        <v>393</v>
      </c>
      <c r="B376" s="922"/>
      <c r="C376" s="922"/>
      <c r="D376" s="923"/>
      <c r="E376" s="111">
        <f>SUM(E373:E375)</f>
        <v>1.8767199999999999</v>
      </c>
      <c r="H376" s="921" t="s">
        <v>393</v>
      </c>
      <c r="I376" s="922"/>
      <c r="J376" s="923"/>
      <c r="K376" s="205"/>
      <c r="L376" s="111">
        <f>SUM(L373:L375)</f>
        <v>23.458999999999996</v>
      </c>
      <c r="O376" s="921" t="s">
        <v>393</v>
      </c>
      <c r="P376" s="924"/>
      <c r="Q376" s="924"/>
      <c r="R376" s="925"/>
      <c r="S376" s="111">
        <f>SUM(S372:S375)</f>
        <v>4.6917999999999997</v>
      </c>
    </row>
    <row r="377" spans="1:22" ht="15.75" thickBot="1">
      <c r="A377" s="102"/>
      <c r="F377" s="102"/>
      <c r="G377" s="99"/>
    </row>
    <row r="378" spans="1:22">
      <c r="A378" s="336" t="s">
        <v>440</v>
      </c>
    </row>
    <row r="379" spans="1:22">
      <c r="A379" s="103" t="str">
        <f>A374</f>
        <v>B1,B2</v>
      </c>
      <c r="B379" s="100">
        <f>(2*4.145)+1.95+(2*3.687)+3.995+0.7</f>
        <v>22.308999999999997</v>
      </c>
      <c r="C379" s="100">
        <f>1.15</f>
        <v>1.1499999999999999</v>
      </c>
      <c r="D379" s="100"/>
      <c r="E379" s="100"/>
      <c r="F379" s="648"/>
      <c r="G379" s="100"/>
      <c r="H379" s="100"/>
      <c r="I379" s="100"/>
      <c r="J379" s="100"/>
      <c r="K379" s="100"/>
      <c r="L379" s="100"/>
      <c r="M379" s="100"/>
      <c r="N379" s="649">
        <f>SUM(B379:M379)</f>
        <v>23.458999999999996</v>
      </c>
      <c r="O379" s="655"/>
      <c r="P379" s="656"/>
      <c r="Q379" s="656"/>
      <c r="R379" s="656"/>
      <c r="S379" s="656"/>
      <c r="T379" s="656"/>
      <c r="U379" s="657"/>
      <c r="V379" s="101"/>
    </row>
    <row r="380" spans="1:22" ht="15">
      <c r="A380" s="322"/>
      <c r="N380" s="760"/>
      <c r="U380" s="101"/>
      <c r="V380" s="101"/>
    </row>
    <row r="381" spans="1:22" ht="13.5" thickBot="1"/>
    <row r="382" spans="1:22" ht="15.75" thickBot="1">
      <c r="A382" s="461" t="s">
        <v>441</v>
      </c>
      <c r="B382" s="469">
        <f>D388-D393</f>
        <v>3.3979500000000002</v>
      </c>
      <c r="C382" s="95" t="s">
        <v>66</v>
      </c>
      <c r="H382" s="328" t="str">
        <f>A382</f>
        <v>SLAB</v>
      </c>
      <c r="I382" s="469">
        <f>L388-L393</f>
        <v>1.0841200000000004</v>
      </c>
      <c r="J382" s="95" t="s">
        <v>84</v>
      </c>
      <c r="K382" s="211"/>
    </row>
    <row r="383" spans="1:22" ht="13.5" thickBot="1"/>
    <row r="384" spans="1:22" ht="13.5" thickBot="1">
      <c r="A384" s="329" t="s">
        <v>382</v>
      </c>
      <c r="B384" s="331" t="s">
        <v>409</v>
      </c>
      <c r="C384" s="331" t="s">
        <v>385</v>
      </c>
      <c r="D384" s="331" t="s">
        <v>386</v>
      </c>
      <c r="H384" s="329" t="s">
        <v>382</v>
      </c>
      <c r="I384" s="331" t="s">
        <v>383</v>
      </c>
      <c r="J384" s="330" t="s">
        <v>442</v>
      </c>
      <c r="K384" s="468"/>
      <c r="L384" s="332" t="s">
        <v>443</v>
      </c>
    </row>
    <row r="385" spans="1:22">
      <c r="A385" s="213"/>
      <c r="B385" s="82"/>
      <c r="C385" s="82"/>
      <c r="D385" s="82"/>
      <c r="H385" s="213"/>
      <c r="I385" s="213"/>
      <c r="J385" s="82"/>
      <c r="K385" s="214"/>
      <c r="L385" s="215"/>
      <c r="N385" s="664"/>
    </row>
    <row r="386" spans="1:22" ht="15">
      <c r="A386" s="323" t="s">
        <v>444</v>
      </c>
      <c r="B386" s="72">
        <v>28.89</v>
      </c>
      <c r="C386" s="78">
        <v>0.13500000000000001</v>
      </c>
      <c r="D386" s="79">
        <f>C386*B386</f>
        <v>3.9001500000000004</v>
      </c>
      <c r="H386" s="74" t="str">
        <f>A386</f>
        <v>135mm tk Slab</v>
      </c>
      <c r="I386" s="74"/>
      <c r="J386" s="78"/>
      <c r="L386" s="660"/>
    </row>
    <row r="387" spans="1:22" ht="15.75" thickBot="1">
      <c r="A387" s="323"/>
      <c r="B387" s="78"/>
      <c r="C387" s="78"/>
      <c r="D387" s="79"/>
      <c r="H387" s="323" t="s">
        <v>446</v>
      </c>
      <c r="I387" s="74">
        <f>L406+L407</f>
        <v>61.264000000000003</v>
      </c>
      <c r="J387" s="78">
        <v>0.155</v>
      </c>
      <c r="L387" s="217">
        <f>J387*I387</f>
        <v>9.4959199999999999</v>
      </c>
    </row>
    <row r="388" spans="1:22" ht="15.75" thickBot="1">
      <c r="A388" s="216"/>
      <c r="B388" s="78"/>
      <c r="C388" s="78"/>
      <c r="D388" s="224">
        <f>SUM(D386:D386)</f>
        <v>3.9001500000000004</v>
      </c>
      <c r="H388" s="216"/>
      <c r="I388" s="74"/>
      <c r="J388" s="78"/>
      <c r="L388" s="224">
        <f>SUM(L387:L387)</f>
        <v>9.4959199999999999</v>
      </c>
    </row>
    <row r="389" spans="1:22" ht="15">
      <c r="A389" s="218" t="s">
        <v>447</v>
      </c>
      <c r="B389" s="78"/>
      <c r="C389" s="78"/>
      <c r="D389" s="217"/>
      <c r="H389" s="218" t="s">
        <v>447</v>
      </c>
      <c r="I389" s="74"/>
      <c r="J389" s="78"/>
      <c r="L389" s="217"/>
    </row>
    <row r="390" spans="1:22" ht="15">
      <c r="A390" s="323" t="s">
        <v>468</v>
      </c>
      <c r="B390" s="72">
        <v>0</v>
      </c>
      <c r="C390" s="78">
        <v>0</v>
      </c>
      <c r="D390" s="79">
        <f>C390*B390</f>
        <v>0</v>
      </c>
      <c r="H390" s="216" t="s">
        <v>449</v>
      </c>
      <c r="I390" s="74">
        <v>1</v>
      </c>
      <c r="J390" s="78">
        <v>0</v>
      </c>
      <c r="L390" s="217">
        <f>J390*I390</f>
        <v>0</v>
      </c>
    </row>
    <row r="391" spans="1:22" ht="15">
      <c r="A391" s="323" t="s">
        <v>450</v>
      </c>
      <c r="B391" s="78">
        <v>0</v>
      </c>
      <c r="C391" s="78">
        <v>0</v>
      </c>
      <c r="D391" s="217">
        <f>C391*B391</f>
        <v>0</v>
      </c>
      <c r="H391" s="216" t="s">
        <v>451</v>
      </c>
      <c r="I391" s="74">
        <v>1</v>
      </c>
      <c r="J391" s="78">
        <f>B391</f>
        <v>0</v>
      </c>
      <c r="L391" s="217">
        <f>J391*I391</f>
        <v>0</v>
      </c>
    </row>
    <row r="392" spans="1:22" ht="15.75" thickBot="1">
      <c r="A392" s="323" t="s">
        <v>452</v>
      </c>
      <c r="B392" s="78">
        <f>P359</f>
        <v>3.72</v>
      </c>
      <c r="C392" s="78">
        <v>0.13500000000000001</v>
      </c>
      <c r="D392" s="217">
        <f>C392*B392</f>
        <v>0.50220000000000009</v>
      </c>
      <c r="H392" s="323" t="s">
        <v>453</v>
      </c>
      <c r="I392" s="74">
        <v>1</v>
      </c>
      <c r="J392" s="78">
        <f>P370+P359</f>
        <v>8.4117999999999995</v>
      </c>
      <c r="L392" s="217">
        <f>J392*I392</f>
        <v>8.4117999999999995</v>
      </c>
      <c r="M392" s="223"/>
    </row>
    <row r="393" spans="1:22" ht="15.75" thickBot="1">
      <c r="A393" s="216"/>
      <c r="B393" s="78"/>
      <c r="C393" s="78"/>
      <c r="D393" s="224">
        <f>SUM(D390:D392)</f>
        <v>0.50220000000000009</v>
      </c>
      <c r="H393" s="216"/>
      <c r="I393" s="74"/>
      <c r="J393" s="78"/>
      <c r="L393" s="224">
        <f>SUM(L390:L392)</f>
        <v>8.4117999999999995</v>
      </c>
    </row>
    <row r="394" spans="1:22" ht="13.5" thickBot="1">
      <c r="A394" s="219"/>
      <c r="B394" s="80"/>
      <c r="C394" s="80"/>
      <c r="D394" s="221"/>
      <c r="H394" s="219"/>
      <c r="I394" s="219"/>
      <c r="J394" s="80"/>
      <c r="K394" s="220"/>
      <c r="L394" s="221"/>
    </row>
    <row r="395" spans="1:22" ht="13.5" thickBot="1"/>
    <row r="396" spans="1:22" ht="13.5" thickBot="1">
      <c r="A396" s="111" t="s">
        <v>454</v>
      </c>
    </row>
    <row r="397" spans="1:22" ht="13.5" thickBot="1"/>
    <row r="398" spans="1:22" ht="13.5" thickBot="1">
      <c r="A398" s="103" t="str">
        <f>A386</f>
        <v>135mm tk Slab</v>
      </c>
      <c r="B398" s="100">
        <f>168.386-4.621007</f>
        <v>163.764993</v>
      </c>
      <c r="C398" s="100">
        <v>0</v>
      </c>
      <c r="D398" s="100">
        <v>0</v>
      </c>
      <c r="E398" s="100">
        <v>0</v>
      </c>
      <c r="F398" s="100">
        <v>0</v>
      </c>
      <c r="G398" s="100">
        <v>0</v>
      </c>
      <c r="H398" s="100">
        <v>0</v>
      </c>
      <c r="I398" s="100">
        <v>0</v>
      </c>
      <c r="J398" s="100">
        <v>0</v>
      </c>
      <c r="K398" s="100"/>
      <c r="L398" s="455">
        <f>SUM(B398:J398)</f>
        <v>163.764993</v>
      </c>
    </row>
    <row r="399" spans="1:22" ht="13.5" thickBot="1">
      <c r="A399" s="323" t="e">
        <f>#REF!</f>
        <v>#REF!</v>
      </c>
      <c r="B399" s="100">
        <v>2.3302499999999999</v>
      </c>
      <c r="C399" s="100"/>
      <c r="D399" s="100"/>
      <c r="E399" s="100"/>
      <c r="F399" s="100"/>
      <c r="G399" s="100"/>
      <c r="H399" s="100"/>
      <c r="I399" s="100"/>
      <c r="J399" s="100"/>
      <c r="K399" s="100"/>
      <c r="L399" s="455"/>
    </row>
    <row r="400" spans="1:22" ht="15">
      <c r="A400" s="103" t="e">
        <f>#REF!</f>
        <v>#REF!</v>
      </c>
      <c r="B400" s="100">
        <v>46.210070000000002</v>
      </c>
      <c r="C400" s="100">
        <v>0</v>
      </c>
      <c r="D400" s="100">
        <v>0</v>
      </c>
      <c r="E400" s="100">
        <v>0</v>
      </c>
      <c r="F400" s="100">
        <v>0</v>
      </c>
      <c r="G400" s="100">
        <v>0</v>
      </c>
      <c r="H400" s="100">
        <v>0</v>
      </c>
      <c r="I400" s="100">
        <v>0</v>
      </c>
      <c r="J400" s="100">
        <v>0</v>
      </c>
      <c r="K400" s="100"/>
      <c r="L400" s="455">
        <f>SUM(B400:J400)</f>
        <v>46.210070000000002</v>
      </c>
      <c r="M400" s="595"/>
      <c r="N400" s="760"/>
      <c r="V400" s="101"/>
    </row>
    <row r="401" spans="1:22" ht="15.75" thickBot="1">
      <c r="A401" s="222" t="str">
        <f>A389</f>
        <v>Deduction</v>
      </c>
    </row>
    <row r="402" spans="1:22" ht="15.75" thickBot="1">
      <c r="A402" s="103" t="str">
        <f>A390</f>
        <v>Artium Voids</v>
      </c>
      <c r="B402" s="100">
        <f>B337</f>
        <v>6.426247</v>
      </c>
      <c r="C402" s="100">
        <v>0</v>
      </c>
      <c r="D402" s="100">
        <v>0</v>
      </c>
      <c r="E402" s="100">
        <v>0</v>
      </c>
      <c r="F402" s="100">
        <v>0</v>
      </c>
      <c r="G402" s="100">
        <v>0</v>
      </c>
      <c r="H402" s="100">
        <v>0</v>
      </c>
      <c r="I402" s="100">
        <v>0</v>
      </c>
      <c r="J402" s="100">
        <v>0</v>
      </c>
      <c r="K402" s="100"/>
      <c r="L402" s="455">
        <f>SUM(B402:J402)</f>
        <v>6.426247</v>
      </c>
      <c r="M402" s="595"/>
      <c r="N402" s="760"/>
      <c r="V402" s="101"/>
    </row>
    <row r="403" spans="1:22" ht="15">
      <c r="A403" s="103" t="str">
        <f>A391</f>
        <v>Stair Well &amp; Voids</v>
      </c>
      <c r="B403" s="100">
        <f>B338+1.371259</f>
        <v>10.061277</v>
      </c>
      <c r="C403" s="100">
        <v>0</v>
      </c>
      <c r="D403" s="100">
        <v>0</v>
      </c>
      <c r="E403" s="100">
        <v>0</v>
      </c>
      <c r="F403" s="100">
        <v>0</v>
      </c>
      <c r="G403" s="100">
        <v>0</v>
      </c>
      <c r="H403" s="100">
        <v>0</v>
      </c>
      <c r="I403" s="100">
        <v>0</v>
      </c>
      <c r="J403" s="100">
        <v>0</v>
      </c>
      <c r="K403" s="100"/>
      <c r="L403" s="455">
        <f>SUM(B403:J403)</f>
        <v>10.061277</v>
      </c>
      <c r="M403" s="595"/>
      <c r="N403" s="760"/>
      <c r="V403" s="101"/>
    </row>
    <row r="404" spans="1:22" ht="13.5" thickBot="1"/>
    <row r="405" spans="1:22" ht="13.5" thickBot="1">
      <c r="A405" s="336" t="s">
        <v>455</v>
      </c>
    </row>
    <row r="406" spans="1:22" ht="15.75" thickBot="1">
      <c r="A406" s="103" t="s">
        <v>456</v>
      </c>
      <c r="B406" s="100">
        <v>51.264000000000003</v>
      </c>
      <c r="C406" s="100">
        <v>0</v>
      </c>
      <c r="D406" s="100">
        <v>0</v>
      </c>
      <c r="E406" s="100">
        <v>0</v>
      </c>
      <c r="F406" s="100">
        <v>0</v>
      </c>
      <c r="G406" s="100">
        <v>0</v>
      </c>
      <c r="H406" s="100">
        <v>0</v>
      </c>
      <c r="I406" s="100">
        <v>0</v>
      </c>
      <c r="J406" s="100">
        <v>0</v>
      </c>
      <c r="K406" s="100"/>
      <c r="L406" s="455">
        <f>SUM(B406:J406)</f>
        <v>51.264000000000003</v>
      </c>
      <c r="M406" s="595"/>
      <c r="N406" s="760"/>
      <c r="V406" s="101"/>
    </row>
    <row r="407" spans="1:22" ht="15.75" thickBot="1">
      <c r="A407" s="103" t="s">
        <v>457</v>
      </c>
      <c r="B407" s="100">
        <v>10</v>
      </c>
      <c r="C407" s="100">
        <v>0</v>
      </c>
      <c r="D407" s="100">
        <v>0</v>
      </c>
      <c r="E407" s="100">
        <v>0</v>
      </c>
      <c r="F407" s="100">
        <v>0</v>
      </c>
      <c r="G407" s="100">
        <v>0</v>
      </c>
      <c r="H407" s="100">
        <v>0</v>
      </c>
      <c r="I407" s="100">
        <v>0</v>
      </c>
      <c r="J407" s="100">
        <v>0</v>
      </c>
      <c r="K407" s="100"/>
      <c r="L407" s="455">
        <f>SUM(B407:J407)</f>
        <v>10</v>
      </c>
      <c r="M407" s="595"/>
      <c r="N407" s="760"/>
      <c r="V407" s="101"/>
    </row>
    <row r="408" spans="1:22" ht="15">
      <c r="A408" s="103" t="s">
        <v>458</v>
      </c>
      <c r="B408" s="100">
        <f>6.43+1.8525+4.81</f>
        <v>13.092499999999998</v>
      </c>
      <c r="C408" s="100">
        <v>0</v>
      </c>
      <c r="D408" s="100">
        <v>0</v>
      </c>
      <c r="E408" s="100">
        <v>0</v>
      </c>
      <c r="F408" s="100">
        <v>0</v>
      </c>
      <c r="G408" s="100">
        <v>0</v>
      </c>
      <c r="H408" s="100">
        <v>0</v>
      </c>
      <c r="I408" s="100">
        <v>0</v>
      </c>
      <c r="J408" s="100">
        <v>0</v>
      </c>
      <c r="K408" s="100"/>
      <c r="L408" s="455">
        <f>SUM(B408:J408)</f>
        <v>13.092499999999998</v>
      </c>
      <c r="M408" s="595"/>
      <c r="N408" s="760"/>
      <c r="V408" s="101"/>
    </row>
    <row r="409" spans="1:22" ht="13.5" thickBot="1"/>
    <row r="410" spans="1:22" ht="15.75" thickBot="1">
      <c r="A410" s="461" t="s">
        <v>474</v>
      </c>
      <c r="B410" s="469">
        <f>E416</f>
        <v>7.3638000000000003</v>
      </c>
      <c r="C410" s="95" t="s">
        <v>66</v>
      </c>
      <c r="H410" s="328" t="str">
        <f>A410</f>
        <v>Swimming Pool</v>
      </c>
      <c r="I410" s="469">
        <f>L416</f>
        <v>104.3205</v>
      </c>
      <c r="J410" s="95" t="s">
        <v>84</v>
      </c>
      <c r="K410" s="99"/>
    </row>
    <row r="411" spans="1:22" ht="13.5" thickBot="1"/>
    <row r="412" spans="1:22" ht="13.5" thickBot="1">
      <c r="A412" s="329" t="s">
        <v>382</v>
      </c>
      <c r="B412" s="331" t="s">
        <v>383</v>
      </c>
      <c r="C412" s="331" t="s">
        <v>384</v>
      </c>
      <c r="D412" s="331" t="s">
        <v>385</v>
      </c>
      <c r="E412" s="329" t="s">
        <v>386</v>
      </c>
      <c r="H412" s="329" t="s">
        <v>382</v>
      </c>
      <c r="I412" s="331" t="s">
        <v>383</v>
      </c>
      <c r="J412" s="331" t="s">
        <v>384</v>
      </c>
      <c r="K412" s="468"/>
      <c r="L412" s="332" t="s">
        <v>475</v>
      </c>
    </row>
    <row r="413" spans="1:22">
      <c r="A413" s="82"/>
      <c r="B413" s="82"/>
      <c r="C413" s="82"/>
      <c r="D413" s="82"/>
      <c r="E413" s="82"/>
      <c r="H413" s="82"/>
      <c r="I413" s="82"/>
      <c r="J413" s="82"/>
      <c r="K413" s="82"/>
      <c r="L413" s="82"/>
    </row>
    <row r="414" spans="1:22" ht="15">
      <c r="A414" s="123" t="str">
        <f>A420</f>
        <v>Pool RC Wall</v>
      </c>
      <c r="B414" s="78">
        <f>N420</f>
        <v>40.910000000000004</v>
      </c>
      <c r="C414" s="78">
        <v>0.15</v>
      </c>
      <c r="D414" s="78">
        <v>1.2</v>
      </c>
      <c r="E414" s="79">
        <f>D414*C414*B414</f>
        <v>7.3638000000000003</v>
      </c>
      <c r="H414" s="123" t="str">
        <f>A414</f>
        <v>Pool RC Wall</v>
      </c>
      <c r="I414" s="78">
        <f>B414</f>
        <v>40.910000000000004</v>
      </c>
      <c r="J414" s="78">
        <f>C414+D414+D414</f>
        <v>2.5499999999999998</v>
      </c>
      <c r="K414" s="78"/>
      <c r="L414" s="79">
        <f>J414*I414</f>
        <v>104.3205</v>
      </c>
    </row>
    <row r="415" spans="1:22" ht="13.5" thickBot="1">
      <c r="A415" s="80"/>
      <c r="B415" s="80"/>
      <c r="C415" s="80"/>
      <c r="D415" s="80"/>
      <c r="E415" s="80"/>
      <c r="H415" s="80"/>
      <c r="I415" s="80"/>
      <c r="J415" s="80"/>
      <c r="K415" s="80"/>
      <c r="L415" s="80"/>
    </row>
    <row r="416" spans="1:22" ht="13.5" thickBot="1">
      <c r="A416" s="921" t="s">
        <v>393</v>
      </c>
      <c r="B416" s="924"/>
      <c r="C416" s="924"/>
      <c r="D416" s="925"/>
      <c r="E416" s="111">
        <f>SUM(E413:E415)</f>
        <v>7.3638000000000003</v>
      </c>
      <c r="H416" s="947" t="s">
        <v>393</v>
      </c>
      <c r="I416" s="922"/>
      <c r="J416" s="923"/>
      <c r="L416" s="111">
        <f>SUM(L413:L415)</f>
        <v>104.3205</v>
      </c>
    </row>
    <row r="418" spans="1:14" ht="13.5" thickBot="1"/>
    <row r="419" spans="1:14" ht="13.5" thickBot="1">
      <c r="A419" s="336" t="s">
        <v>476</v>
      </c>
    </row>
    <row r="420" spans="1:14">
      <c r="A420" s="103" t="s">
        <v>477</v>
      </c>
      <c r="B420" s="100">
        <f>2*4.855</f>
        <v>9.7100000000000009</v>
      </c>
      <c r="C420" s="100">
        <v>5.0049999999999999</v>
      </c>
      <c r="D420" s="100">
        <v>9.1950000000000003</v>
      </c>
      <c r="E420" s="100">
        <v>4.7050000000000001</v>
      </c>
      <c r="F420" s="100">
        <v>4.2949999999999999</v>
      </c>
      <c r="G420" s="100">
        <v>0.55000000000000004</v>
      </c>
      <c r="H420" s="100">
        <v>3.25</v>
      </c>
      <c r="I420" s="100">
        <f>(2*1.2)+1.8</f>
        <v>4.2</v>
      </c>
      <c r="J420" s="100">
        <v>0</v>
      </c>
      <c r="K420" s="100"/>
      <c r="L420" s="100">
        <v>0</v>
      </c>
      <c r="M420" s="100">
        <v>0</v>
      </c>
      <c r="N420" s="455">
        <f>SUM(B420:M420)</f>
        <v>40.910000000000004</v>
      </c>
    </row>
    <row r="421" spans="1:14" ht="13.5" thickBot="1"/>
    <row r="422" spans="1:14" ht="15.75" thickBot="1">
      <c r="A422" s="461" t="s">
        <v>465</v>
      </c>
      <c r="B422" s="469">
        <f>E430</f>
        <v>0.82001350000000006</v>
      </c>
      <c r="C422" s="95" t="s">
        <v>66</v>
      </c>
      <c r="E422" s="659"/>
    </row>
    <row r="423" spans="1:14" ht="13.5" thickBot="1"/>
    <row r="424" spans="1:14" ht="13.5" thickBot="1">
      <c r="A424" s="329" t="s">
        <v>382</v>
      </c>
      <c r="B424" s="331" t="s">
        <v>383</v>
      </c>
      <c r="C424" s="331" t="s">
        <v>384</v>
      </c>
      <c r="D424" s="330" t="s">
        <v>460</v>
      </c>
      <c r="E424" s="332" t="s">
        <v>386</v>
      </c>
    </row>
    <row r="425" spans="1:14">
      <c r="A425" s="82"/>
      <c r="B425" s="82"/>
      <c r="C425" s="82"/>
      <c r="D425" s="82"/>
      <c r="E425" s="82"/>
    </row>
    <row r="426" spans="1:14" ht="15">
      <c r="A426" s="72" t="s">
        <v>478</v>
      </c>
      <c r="B426" s="78">
        <v>1.0649999999999999</v>
      </c>
      <c r="C426" s="78">
        <v>0.75</v>
      </c>
      <c r="D426" s="78">
        <v>0.45</v>
      </c>
      <c r="E426" s="79">
        <f>D426*C426*B426</f>
        <v>0.35943750000000002</v>
      </c>
    </row>
    <row r="427" spans="1:14" ht="15">
      <c r="A427" s="72" t="s">
        <v>465</v>
      </c>
      <c r="B427" s="78">
        <v>1.07</v>
      </c>
      <c r="C427" s="78">
        <v>0.28000000000000003</v>
      </c>
      <c r="D427" s="78">
        <f>D353</f>
        <v>0.1968</v>
      </c>
      <c r="E427" s="79">
        <f>D427*B427</f>
        <v>0.21057600000000001</v>
      </c>
    </row>
    <row r="428" spans="1:14" ht="15">
      <c r="A428" s="72" t="s">
        <v>407</v>
      </c>
      <c r="B428" s="78"/>
      <c r="C428" s="78"/>
      <c r="D428" s="78"/>
      <c r="E428" s="79">
        <v>0.25</v>
      </c>
    </row>
    <row r="429" spans="1:14" ht="15.75" thickBot="1">
      <c r="A429" s="137"/>
      <c r="B429" s="80"/>
      <c r="C429" s="80"/>
      <c r="D429" s="80"/>
      <c r="E429" s="81"/>
    </row>
    <row r="430" spans="1:14" ht="13.5" thickBot="1">
      <c r="A430" s="921" t="s">
        <v>393</v>
      </c>
      <c r="B430" s="922"/>
      <c r="C430" s="922"/>
      <c r="D430" s="923"/>
      <c r="E430" s="111">
        <f>SUM(E425:E429)</f>
        <v>0.82001350000000006</v>
      </c>
    </row>
    <row r="562" spans="1:14" ht="13.5" thickBot="1"/>
    <row r="563" spans="1:14" ht="15.75" thickBot="1">
      <c r="A563" s="206" t="s">
        <v>436</v>
      </c>
    </row>
    <row r="564" spans="1:14" ht="15.75" thickBot="1">
      <c r="A564" s="94" t="s">
        <v>421</v>
      </c>
      <c r="B564" s="128">
        <f>F572</f>
        <v>2.8500000000000005</v>
      </c>
      <c r="C564" s="95" t="s">
        <v>66</v>
      </c>
      <c r="D564" s="226" t="s">
        <v>385</v>
      </c>
      <c r="E564" s="120">
        <v>3</v>
      </c>
      <c r="F564" s="121" t="s">
        <v>422</v>
      </c>
      <c r="H564" s="94" t="s">
        <v>421</v>
      </c>
      <c r="I564" s="129">
        <f>M572</f>
        <v>7.2000000000000011</v>
      </c>
      <c r="J564" s="130" t="s">
        <v>84</v>
      </c>
      <c r="K564" s="130"/>
      <c r="L564" s="225" t="s">
        <v>385</v>
      </c>
      <c r="M564" s="112">
        <v>3</v>
      </c>
      <c r="N564" s="126" t="s">
        <v>422</v>
      </c>
    </row>
    <row r="565" spans="1:14" ht="13.5" thickBot="1"/>
    <row r="566" spans="1:14" s="127" customFormat="1" ht="16.5" customHeight="1" thickBot="1">
      <c r="A566" s="131" t="s">
        <v>382</v>
      </c>
      <c r="B566" s="132" t="s">
        <v>291</v>
      </c>
      <c r="C566" s="132" t="s">
        <v>383</v>
      </c>
      <c r="D566" s="132" t="s">
        <v>384</v>
      </c>
      <c r="E566" s="132" t="s">
        <v>385</v>
      </c>
      <c r="F566" s="133" t="s">
        <v>386</v>
      </c>
      <c r="H566" s="131" t="s">
        <v>382</v>
      </c>
      <c r="I566" s="132" t="s">
        <v>291</v>
      </c>
      <c r="J566" s="132" t="s">
        <v>383</v>
      </c>
      <c r="K566" s="132"/>
      <c r="L566" s="207" t="s">
        <v>385</v>
      </c>
      <c r="M566" s="133" t="s">
        <v>386</v>
      </c>
    </row>
    <row r="567" spans="1:14">
      <c r="A567" s="82"/>
      <c r="B567" s="82"/>
      <c r="C567" s="82"/>
      <c r="D567" s="82"/>
      <c r="E567" s="82"/>
      <c r="F567" s="82"/>
      <c r="H567" s="82"/>
      <c r="I567" s="82"/>
      <c r="J567" s="82"/>
      <c r="K567" s="82"/>
      <c r="L567" s="82"/>
      <c r="M567" s="82"/>
    </row>
    <row r="568" spans="1:14" ht="15">
      <c r="A568" s="123" t="s">
        <v>423</v>
      </c>
      <c r="B568" s="78">
        <v>13</v>
      </c>
      <c r="C568" s="78">
        <v>0.3</v>
      </c>
      <c r="D568" s="78">
        <v>0.2</v>
      </c>
      <c r="E568" s="78">
        <f>E564</f>
        <v>3</v>
      </c>
      <c r="F568" s="79">
        <f>E568*D568*C568*B568</f>
        <v>2.3400000000000003</v>
      </c>
      <c r="H568" s="123" t="s">
        <v>423</v>
      </c>
      <c r="I568" s="78">
        <f>B568</f>
        <v>13</v>
      </c>
      <c r="J568" s="78">
        <f>2*(C568+D568)</f>
        <v>1</v>
      </c>
      <c r="K568" s="78"/>
      <c r="L568" s="78">
        <f>M564</f>
        <v>3</v>
      </c>
      <c r="M568" s="79">
        <f>L568*J568*I568</f>
        <v>39</v>
      </c>
    </row>
    <row r="569" spans="1:14" ht="15">
      <c r="A569" s="123" t="s">
        <v>424</v>
      </c>
      <c r="B569" s="78">
        <v>1</v>
      </c>
      <c r="C569" s="78">
        <v>0.25</v>
      </c>
      <c r="D569" s="78">
        <v>0.2</v>
      </c>
      <c r="E569" s="78">
        <f>E564</f>
        <v>3</v>
      </c>
      <c r="F569" s="79">
        <f>E569*D569*C569*B569</f>
        <v>0.15000000000000002</v>
      </c>
      <c r="H569" s="123" t="s">
        <v>424</v>
      </c>
      <c r="I569" s="78">
        <f>B569</f>
        <v>1</v>
      </c>
      <c r="J569" s="78">
        <f t="shared" ref="J569:J570" si="100">2*(C569+D569)</f>
        <v>0.9</v>
      </c>
      <c r="K569" s="78"/>
      <c r="L569" s="78">
        <f>M564</f>
        <v>3</v>
      </c>
      <c r="M569" s="79">
        <f>L569*J569*I569</f>
        <v>2.7</v>
      </c>
    </row>
    <row r="570" spans="1:14" ht="15">
      <c r="A570" s="123" t="s">
        <v>425</v>
      </c>
      <c r="B570" s="78">
        <v>3</v>
      </c>
      <c r="C570" s="78">
        <v>0.2</v>
      </c>
      <c r="D570" s="78">
        <v>0.2</v>
      </c>
      <c r="E570" s="78">
        <f>E564</f>
        <v>3</v>
      </c>
      <c r="F570" s="79">
        <f>E570*D570*C570*B570</f>
        <v>0.3600000000000001</v>
      </c>
      <c r="H570" s="123" t="s">
        <v>425</v>
      </c>
      <c r="I570" s="78">
        <f>B570</f>
        <v>3</v>
      </c>
      <c r="J570" s="78">
        <f t="shared" si="100"/>
        <v>0.8</v>
      </c>
      <c r="K570" s="78"/>
      <c r="L570" s="78">
        <f>M564</f>
        <v>3</v>
      </c>
      <c r="M570" s="79">
        <f>L570*J570*I570</f>
        <v>7.2000000000000011</v>
      </c>
    </row>
    <row r="571" spans="1:14" ht="15.75" thickBot="1">
      <c r="A571" s="124"/>
      <c r="B571" s="80"/>
      <c r="C571" s="80"/>
      <c r="D571" s="80"/>
      <c r="E571" s="80"/>
      <c r="F571" s="81"/>
      <c r="H571" s="124"/>
      <c r="I571" s="80"/>
      <c r="J571" s="80"/>
      <c r="K571" s="80"/>
      <c r="L571" s="80"/>
      <c r="M571" s="81"/>
    </row>
    <row r="572" spans="1:14" ht="13.5" thickBot="1">
      <c r="A572" s="921" t="s">
        <v>393</v>
      </c>
      <c r="B572" s="922"/>
      <c r="C572" s="922"/>
      <c r="D572" s="922"/>
      <c r="E572" s="923"/>
      <c r="F572" s="111">
        <f>SUM(F567:F571)</f>
        <v>2.8500000000000005</v>
      </c>
      <c r="H572" s="921" t="s">
        <v>393</v>
      </c>
      <c r="I572" s="922"/>
      <c r="J572" s="922"/>
      <c r="K572" s="922"/>
      <c r="L572" s="923"/>
      <c r="M572" s="111">
        <f>SUM(M570:M571)</f>
        <v>7.2000000000000011</v>
      </c>
    </row>
    <row r="573" spans="1:14">
      <c r="A573" s="134"/>
      <c r="B573" s="135"/>
      <c r="C573" s="135"/>
      <c r="D573" s="135"/>
      <c r="E573" s="135"/>
      <c r="F573" s="101"/>
      <c r="H573" s="134"/>
      <c r="I573" s="135"/>
      <c r="J573" s="135"/>
      <c r="K573" s="135"/>
      <c r="L573" s="135"/>
      <c r="M573" s="101"/>
    </row>
    <row r="574" spans="1:14" ht="13.5" thickBot="1">
      <c r="A574" s="134"/>
      <c r="B574" s="135"/>
      <c r="C574" s="135"/>
      <c r="D574" s="135"/>
      <c r="E574" s="135"/>
      <c r="F574" s="101"/>
      <c r="H574" s="134"/>
      <c r="I574" s="135"/>
      <c r="J574" s="135"/>
      <c r="K574" s="135"/>
      <c r="L574" s="135"/>
      <c r="M574" s="101"/>
    </row>
    <row r="575" spans="1:14" ht="15.75" thickBot="1">
      <c r="A575" s="125" t="s">
        <v>479</v>
      </c>
      <c r="B575" s="92">
        <f>E579</f>
        <v>3.8335440000000007</v>
      </c>
      <c r="C575" s="95" t="s">
        <v>66</v>
      </c>
      <c r="H575" s="94" t="s">
        <v>479</v>
      </c>
      <c r="I575" s="115">
        <f>SUM(L579:L579)</f>
        <v>55.760640000000002</v>
      </c>
      <c r="J575" s="116" t="s">
        <v>84</v>
      </c>
      <c r="K575" s="211"/>
    </row>
    <row r="576" spans="1:14" ht="13.5" thickBot="1"/>
    <row r="577" spans="1:22" ht="13.5" thickBot="1">
      <c r="A577" s="107" t="s">
        <v>382</v>
      </c>
      <c r="B577" s="109" t="s">
        <v>383</v>
      </c>
      <c r="C577" s="109" t="s">
        <v>384</v>
      </c>
      <c r="D577" s="109" t="s">
        <v>385</v>
      </c>
      <c r="E577" s="110" t="s">
        <v>386</v>
      </c>
      <c r="H577" s="107" t="s">
        <v>382</v>
      </c>
      <c r="I577" s="109" t="s">
        <v>383</v>
      </c>
      <c r="J577" s="109" t="s">
        <v>384</v>
      </c>
      <c r="K577" s="212"/>
      <c r="L577" s="110" t="s">
        <v>387</v>
      </c>
    </row>
    <row r="578" spans="1:22">
      <c r="A578" s="82"/>
      <c r="B578" s="82"/>
      <c r="C578" s="82"/>
      <c r="D578" s="82"/>
      <c r="E578" s="82"/>
      <c r="H578" s="82"/>
      <c r="I578" s="82"/>
      <c r="J578" s="82"/>
      <c r="K578" s="82"/>
      <c r="L578" s="82"/>
    </row>
    <row r="579" spans="1:22" ht="15">
      <c r="A579" s="136" t="s">
        <v>480</v>
      </c>
      <c r="B579" s="78">
        <f>U584</f>
        <v>87.126000000000005</v>
      </c>
      <c r="C579" s="78">
        <v>0.2</v>
      </c>
      <c r="D579" s="78">
        <v>0.22</v>
      </c>
      <c r="E579" s="79">
        <f>D579*C579*B579</f>
        <v>3.8335440000000007</v>
      </c>
      <c r="H579" s="123" t="str">
        <f>A579</f>
        <v>B1-B6</v>
      </c>
      <c r="I579" s="78">
        <f>B579</f>
        <v>87.126000000000005</v>
      </c>
      <c r="J579" s="78">
        <f>C579+D579+D579</f>
        <v>0.64</v>
      </c>
      <c r="K579" s="78"/>
      <c r="L579" s="79">
        <f>J579*I579</f>
        <v>55.760640000000002</v>
      </c>
    </row>
    <row r="580" spans="1:22" ht="15.75" thickBot="1">
      <c r="A580" s="137"/>
      <c r="B580" s="80"/>
      <c r="C580" s="80"/>
      <c r="D580" s="80"/>
      <c r="E580" s="81"/>
      <c r="H580" s="124"/>
      <c r="I580" s="80"/>
      <c r="J580" s="80"/>
      <c r="K580" s="80"/>
      <c r="L580" s="81"/>
    </row>
    <row r="581" spans="1:22" ht="13.5" thickBot="1">
      <c r="A581" s="921" t="s">
        <v>393</v>
      </c>
      <c r="B581" s="922"/>
      <c r="C581" s="922"/>
      <c r="D581" s="923"/>
      <c r="E581" s="111">
        <f>SUM(E578:E580)</f>
        <v>3.8335440000000007</v>
      </c>
      <c r="H581" s="921" t="s">
        <v>393</v>
      </c>
      <c r="I581" s="922"/>
      <c r="J581" s="923"/>
      <c r="K581" s="205"/>
      <c r="L581" s="111">
        <f>SUM(L578:L580)</f>
        <v>55.760640000000002</v>
      </c>
    </row>
    <row r="582" spans="1:22" ht="15.75" thickBot="1">
      <c r="A582" s="102"/>
      <c r="F582" s="102"/>
      <c r="G582" s="99"/>
    </row>
    <row r="583" spans="1:22" ht="13.5" thickBot="1">
      <c r="A583" s="119" t="s">
        <v>481</v>
      </c>
    </row>
    <row r="584" spans="1:22" ht="15">
      <c r="A584" s="103" t="s">
        <v>482</v>
      </c>
      <c r="B584" s="113">
        <v>15.391999999999999</v>
      </c>
      <c r="C584" s="113">
        <v>15.391999999999999</v>
      </c>
      <c r="D584" s="113">
        <v>15.391999999999999</v>
      </c>
      <c r="E584" s="113">
        <f>6*3.7</f>
        <v>22.200000000000003</v>
      </c>
      <c r="F584" s="113">
        <f>5*3.75</f>
        <v>18.75</v>
      </c>
      <c r="G584" s="113">
        <v>0</v>
      </c>
      <c r="H584" s="100">
        <v>0</v>
      </c>
      <c r="I584" s="100">
        <v>0</v>
      </c>
      <c r="J584" s="100">
        <v>0</v>
      </c>
      <c r="K584" s="100"/>
      <c r="L584" s="100">
        <v>0</v>
      </c>
      <c r="M584" s="100">
        <v>0</v>
      </c>
      <c r="N584" s="761">
        <v>0</v>
      </c>
      <c r="O584" s="100">
        <v>0</v>
      </c>
      <c r="P584" s="100">
        <v>0</v>
      </c>
      <c r="Q584" s="100">
        <v>0</v>
      </c>
      <c r="R584" s="100">
        <v>0</v>
      </c>
      <c r="S584" s="100">
        <v>0</v>
      </c>
      <c r="T584" s="100">
        <v>0</v>
      </c>
      <c r="U584" s="114">
        <f>SUM(B584:T584)</f>
        <v>87.126000000000005</v>
      </c>
      <c r="V584" s="104"/>
    </row>
    <row r="585" spans="1:22" ht="13.5" thickBot="1"/>
    <row r="586" spans="1:22" ht="15.75" thickBot="1">
      <c r="A586" s="125" t="s">
        <v>441</v>
      </c>
      <c r="B586" s="92">
        <f>D593-D597</f>
        <v>15.535520000000002</v>
      </c>
      <c r="C586" s="95" t="s">
        <v>66</v>
      </c>
      <c r="H586" s="94" t="s">
        <v>441</v>
      </c>
      <c r="I586" s="92">
        <f>L593-L597</f>
        <v>126.70405</v>
      </c>
      <c r="J586" s="95" t="s">
        <v>84</v>
      </c>
      <c r="K586" s="211"/>
    </row>
    <row r="587" spans="1:22" ht="13.5" thickBot="1"/>
    <row r="588" spans="1:22" ht="13.5" thickBot="1">
      <c r="A588" s="107" t="s">
        <v>382</v>
      </c>
      <c r="B588" s="109" t="s">
        <v>409</v>
      </c>
      <c r="C588" s="109" t="s">
        <v>385</v>
      </c>
      <c r="D588" s="109" t="s">
        <v>386</v>
      </c>
      <c r="H588" s="107" t="s">
        <v>382</v>
      </c>
      <c r="I588" s="109" t="s">
        <v>383</v>
      </c>
      <c r="J588" s="109" t="s">
        <v>384</v>
      </c>
      <c r="K588" s="212"/>
      <c r="L588" s="110" t="s">
        <v>443</v>
      </c>
    </row>
    <row r="589" spans="1:22">
      <c r="A589" s="213"/>
      <c r="B589" s="82"/>
      <c r="C589" s="82"/>
      <c r="D589" s="82"/>
      <c r="H589" s="213"/>
      <c r="I589" s="213"/>
      <c r="J589" s="82"/>
      <c r="K589" s="214"/>
      <c r="L589" s="215"/>
    </row>
    <row r="590" spans="1:22" ht="15">
      <c r="A590" s="216" t="s">
        <v>483</v>
      </c>
      <c r="B590" s="72">
        <f>U601</f>
        <v>123.914</v>
      </c>
      <c r="C590" s="78">
        <v>0.13</v>
      </c>
      <c r="D590" s="79">
        <f>C590*B590</f>
        <v>16.108820000000001</v>
      </c>
      <c r="H590" s="216" t="s">
        <v>483</v>
      </c>
      <c r="I590" s="74">
        <f>B590</f>
        <v>123.914</v>
      </c>
      <c r="J590" s="78">
        <v>0</v>
      </c>
      <c r="K590" s="96"/>
      <c r="L590" s="217">
        <f>I590</f>
        <v>123.914</v>
      </c>
    </row>
    <row r="591" spans="1:22" ht="15">
      <c r="A591" s="216" t="s">
        <v>484</v>
      </c>
      <c r="B591" s="78">
        <f>U602</f>
        <v>0</v>
      </c>
      <c r="C591" s="78">
        <v>0</v>
      </c>
      <c r="D591" s="79">
        <f>C591*B591</f>
        <v>0</v>
      </c>
      <c r="H591" s="216" t="s">
        <v>485</v>
      </c>
      <c r="I591" s="74">
        <v>46.884999999999998</v>
      </c>
      <c r="J591" s="78">
        <f>C590</f>
        <v>0.13</v>
      </c>
      <c r="L591" s="217">
        <f>J591*I591</f>
        <v>6.0950499999999996</v>
      </c>
    </row>
    <row r="592" spans="1:22" ht="15.75" thickBot="1">
      <c r="A592" s="216" t="s">
        <v>486</v>
      </c>
      <c r="B592" s="78">
        <f>U603</f>
        <v>0</v>
      </c>
      <c r="C592" s="78">
        <v>0</v>
      </c>
      <c r="D592" s="79">
        <f>C592*B592</f>
        <v>0</v>
      </c>
      <c r="H592" s="216" t="s">
        <v>487</v>
      </c>
      <c r="I592" s="74">
        <v>8.5</v>
      </c>
      <c r="J592" s="78">
        <f>C590</f>
        <v>0.13</v>
      </c>
      <c r="L592" s="217">
        <f>J592*I592</f>
        <v>1.105</v>
      </c>
    </row>
    <row r="593" spans="1:22" ht="15.75" thickBot="1">
      <c r="A593" s="216"/>
      <c r="B593" s="78"/>
      <c r="C593" s="78"/>
      <c r="D593" s="224">
        <f>SUM(D590:D592)</f>
        <v>16.108820000000001</v>
      </c>
      <c r="H593" s="216"/>
      <c r="I593" s="74"/>
      <c r="J593" s="78"/>
      <c r="L593" s="224">
        <f>SUM(L590:L592)</f>
        <v>131.11404999999999</v>
      </c>
    </row>
    <row r="594" spans="1:22" ht="15">
      <c r="A594" s="218" t="s">
        <v>447</v>
      </c>
      <c r="B594" s="78"/>
      <c r="C594" s="78"/>
      <c r="D594" s="217"/>
      <c r="H594" s="218" t="s">
        <v>447</v>
      </c>
      <c r="I594" s="74"/>
      <c r="J594" s="78"/>
      <c r="L594" s="217"/>
    </row>
    <row r="595" spans="1:22" ht="15">
      <c r="A595" s="216" t="s">
        <v>449</v>
      </c>
      <c r="B595" s="78">
        <f>U605</f>
        <v>0</v>
      </c>
      <c r="C595" s="78">
        <v>0</v>
      </c>
      <c r="D595" s="79">
        <f>C595*B595</f>
        <v>0</v>
      </c>
      <c r="H595" s="216" t="s">
        <v>449</v>
      </c>
      <c r="I595" s="74">
        <f>B595</f>
        <v>0</v>
      </c>
      <c r="J595" s="78"/>
      <c r="L595" s="217">
        <f>I595</f>
        <v>0</v>
      </c>
    </row>
    <row r="596" spans="1:22" ht="15.75" thickBot="1">
      <c r="A596" s="216" t="s">
        <v>451</v>
      </c>
      <c r="B596" s="78">
        <f>U606</f>
        <v>4.41</v>
      </c>
      <c r="C596" s="78">
        <v>0.13</v>
      </c>
      <c r="D596" s="217">
        <f>C596*B596</f>
        <v>0.57330000000000003</v>
      </c>
      <c r="H596" s="216" t="s">
        <v>451</v>
      </c>
      <c r="I596" s="74">
        <f>B596</f>
        <v>4.41</v>
      </c>
      <c r="J596" s="78">
        <v>0</v>
      </c>
      <c r="L596" s="217">
        <f>I596</f>
        <v>4.41</v>
      </c>
    </row>
    <row r="597" spans="1:22" ht="15.75" thickBot="1">
      <c r="A597" s="216"/>
      <c r="B597" s="78"/>
      <c r="C597" s="78"/>
      <c r="D597" s="224">
        <f>SUM(D595:D596)</f>
        <v>0.57330000000000003</v>
      </c>
      <c r="H597" s="216"/>
      <c r="I597" s="74"/>
      <c r="J597" s="78"/>
      <c r="L597" s="224">
        <f>SUM(L595:L596)</f>
        <v>4.41</v>
      </c>
    </row>
    <row r="598" spans="1:22" ht="13.5" thickBot="1">
      <c r="A598" s="219"/>
      <c r="B598" s="80"/>
      <c r="C598" s="80"/>
      <c r="D598" s="221"/>
      <c r="H598" s="219"/>
      <c r="I598" s="219"/>
      <c r="J598" s="80"/>
      <c r="K598" s="220"/>
      <c r="L598" s="221"/>
    </row>
    <row r="599" spans="1:22" ht="13.5" thickBot="1"/>
    <row r="600" spans="1:22" ht="13.5" thickBot="1">
      <c r="A600" s="119" t="s">
        <v>454</v>
      </c>
    </row>
    <row r="601" spans="1:22" ht="15.75" thickBot="1">
      <c r="A601" s="103" t="str">
        <f>A590</f>
        <v>Total Slab</v>
      </c>
      <c r="B601" s="100">
        <v>123.914</v>
      </c>
      <c r="C601" s="100">
        <v>0</v>
      </c>
      <c r="D601" s="100">
        <v>0</v>
      </c>
      <c r="E601" s="100">
        <v>0</v>
      </c>
      <c r="F601" s="100">
        <v>0</v>
      </c>
      <c r="G601" s="100">
        <v>0</v>
      </c>
      <c r="H601" s="100">
        <v>0</v>
      </c>
      <c r="I601" s="100">
        <v>0</v>
      </c>
      <c r="J601" s="100">
        <v>0</v>
      </c>
      <c r="K601" s="100"/>
      <c r="L601" s="100">
        <v>0</v>
      </c>
      <c r="M601" s="100">
        <v>0</v>
      </c>
      <c r="N601" s="761">
        <v>0</v>
      </c>
      <c r="O601" s="100">
        <v>0</v>
      </c>
      <c r="P601" s="100">
        <v>0</v>
      </c>
      <c r="Q601" s="100">
        <v>0</v>
      </c>
      <c r="R601" s="100">
        <v>0</v>
      </c>
      <c r="S601" s="100">
        <v>0</v>
      </c>
      <c r="T601" s="100">
        <v>0</v>
      </c>
      <c r="U601" s="114">
        <f>SUM(B601:T601)</f>
        <v>123.914</v>
      </c>
      <c r="V601" s="104"/>
    </row>
    <row r="602" spans="1:22" ht="15.75" thickBot="1">
      <c r="A602" s="103" t="str">
        <f>A591</f>
        <v>Shaded Slab</v>
      </c>
      <c r="B602" s="100">
        <v>0</v>
      </c>
      <c r="C602" s="100">
        <v>0</v>
      </c>
      <c r="D602" s="100">
        <v>0</v>
      </c>
      <c r="E602" s="100">
        <v>0</v>
      </c>
      <c r="F602" s="100">
        <v>0</v>
      </c>
      <c r="G602" s="100">
        <v>0</v>
      </c>
      <c r="H602" s="100">
        <v>0</v>
      </c>
      <c r="I602" s="100">
        <v>0</v>
      </c>
      <c r="J602" s="100">
        <v>0</v>
      </c>
      <c r="K602" s="100"/>
      <c r="L602" s="100">
        <v>0</v>
      </c>
      <c r="M602" s="100">
        <v>0</v>
      </c>
      <c r="N602" s="761">
        <v>0</v>
      </c>
      <c r="O602" s="100">
        <v>0</v>
      </c>
      <c r="P602" s="100">
        <v>0</v>
      </c>
      <c r="Q602" s="100">
        <v>0</v>
      </c>
      <c r="R602" s="100">
        <v>0</v>
      </c>
      <c r="S602" s="100">
        <v>0</v>
      </c>
      <c r="T602" s="100">
        <v>0</v>
      </c>
      <c r="U602" s="114">
        <f>SUM(B602:T602)</f>
        <v>0</v>
      </c>
      <c r="V602" s="104"/>
    </row>
    <row r="603" spans="1:22" ht="15">
      <c r="A603" s="103" t="str">
        <f>A592</f>
        <v>Cantilever</v>
      </c>
      <c r="B603" s="100">
        <v>0</v>
      </c>
      <c r="C603" s="100">
        <v>0</v>
      </c>
      <c r="D603" s="100">
        <v>0</v>
      </c>
      <c r="E603" s="100">
        <v>0</v>
      </c>
      <c r="F603" s="100">
        <v>0</v>
      </c>
      <c r="G603" s="100">
        <v>0</v>
      </c>
      <c r="H603" s="100">
        <v>0</v>
      </c>
      <c r="I603" s="100">
        <v>0</v>
      </c>
      <c r="J603" s="100">
        <v>0</v>
      </c>
      <c r="K603" s="100"/>
      <c r="L603" s="100">
        <v>0</v>
      </c>
      <c r="M603" s="100">
        <v>0</v>
      </c>
      <c r="N603" s="761">
        <v>0</v>
      </c>
      <c r="O603" s="100">
        <v>0</v>
      </c>
      <c r="P603" s="100">
        <v>0</v>
      </c>
      <c r="Q603" s="100">
        <v>0</v>
      </c>
      <c r="R603" s="100">
        <v>0</v>
      </c>
      <c r="S603" s="100">
        <v>0</v>
      </c>
      <c r="T603" s="100">
        <v>0</v>
      </c>
      <c r="U603" s="114">
        <f>SUM(B603:T603)</f>
        <v>0</v>
      </c>
      <c r="V603" s="104"/>
    </row>
    <row r="604" spans="1:22" ht="15.75" thickBot="1">
      <c r="A604" s="222" t="str">
        <f>A594</f>
        <v>Deduction</v>
      </c>
    </row>
    <row r="605" spans="1:22" ht="15.75" thickBot="1">
      <c r="A605" s="103" t="str">
        <f>A595</f>
        <v>Lift Void</v>
      </c>
      <c r="B605" s="100">
        <v>0</v>
      </c>
      <c r="C605" s="100">
        <v>0</v>
      </c>
      <c r="D605" s="100">
        <v>0</v>
      </c>
      <c r="E605" s="100">
        <v>0</v>
      </c>
      <c r="F605" s="100">
        <v>0</v>
      </c>
      <c r="G605" s="100">
        <v>0</v>
      </c>
      <c r="H605" s="100">
        <v>0</v>
      </c>
      <c r="I605" s="100">
        <v>0</v>
      </c>
      <c r="J605" s="100">
        <v>0</v>
      </c>
      <c r="K605" s="100"/>
      <c r="L605" s="100">
        <v>0</v>
      </c>
      <c r="M605" s="100">
        <v>0</v>
      </c>
      <c r="N605" s="761">
        <v>0</v>
      </c>
      <c r="O605" s="100">
        <v>0</v>
      </c>
      <c r="P605" s="100">
        <v>0</v>
      </c>
      <c r="Q605" s="100">
        <v>0</v>
      </c>
      <c r="R605" s="100">
        <v>0</v>
      </c>
      <c r="S605" s="100">
        <v>0</v>
      </c>
      <c r="T605" s="100">
        <v>0</v>
      </c>
      <c r="U605" s="114">
        <f>SUM(B605:T605)</f>
        <v>0</v>
      </c>
      <c r="V605" s="104"/>
    </row>
    <row r="606" spans="1:22" ht="15">
      <c r="A606" s="103" t="str">
        <f>A596</f>
        <v>Stair Well</v>
      </c>
      <c r="B606" s="100">
        <v>4.41</v>
      </c>
      <c r="C606" s="100">
        <v>0</v>
      </c>
      <c r="D606" s="100">
        <v>0</v>
      </c>
      <c r="E606" s="100">
        <v>0</v>
      </c>
      <c r="F606" s="100">
        <v>0</v>
      </c>
      <c r="G606" s="100">
        <v>0</v>
      </c>
      <c r="H606" s="100">
        <v>0</v>
      </c>
      <c r="I606" s="100">
        <v>0</v>
      </c>
      <c r="J606" s="100">
        <v>0</v>
      </c>
      <c r="K606" s="100"/>
      <c r="L606" s="100">
        <v>0</v>
      </c>
      <c r="M606" s="100">
        <v>0</v>
      </c>
      <c r="N606" s="761">
        <v>0</v>
      </c>
      <c r="O606" s="100">
        <v>0</v>
      </c>
      <c r="P606" s="100">
        <v>0</v>
      </c>
      <c r="Q606" s="100">
        <v>0</v>
      </c>
      <c r="R606" s="100">
        <v>0</v>
      </c>
      <c r="S606" s="100">
        <v>0</v>
      </c>
      <c r="T606" s="100">
        <v>0</v>
      </c>
      <c r="U606" s="114">
        <f>SUM(B606:T606)</f>
        <v>4.41</v>
      </c>
      <c r="V606" s="104"/>
    </row>
    <row r="607" spans="1:22" ht="13.5" thickBot="1"/>
    <row r="608" spans="1:22" ht="15.75" thickBot="1">
      <c r="A608" s="125" t="s">
        <v>459</v>
      </c>
      <c r="B608" s="92">
        <f>E619</f>
        <v>1.4718312500000001</v>
      </c>
      <c r="C608" s="95" t="s">
        <v>66</v>
      </c>
      <c r="H608" s="274"/>
      <c r="I608" s="102"/>
      <c r="J608" s="99"/>
      <c r="K608" s="99"/>
    </row>
    <row r="609" spans="1:12" ht="13.5" thickBot="1"/>
    <row r="610" spans="1:12" ht="13.5" thickBot="1">
      <c r="A610" s="107" t="s">
        <v>382</v>
      </c>
      <c r="B610" s="109" t="s">
        <v>383</v>
      </c>
      <c r="C610" s="109" t="s">
        <v>384</v>
      </c>
      <c r="D610" s="108" t="s">
        <v>460</v>
      </c>
      <c r="E610" s="110" t="s">
        <v>386</v>
      </c>
    </row>
    <row r="611" spans="1:12">
      <c r="A611" s="82"/>
      <c r="B611" s="82"/>
      <c r="C611" s="82"/>
      <c r="D611" s="82"/>
      <c r="E611" s="82"/>
    </row>
    <row r="612" spans="1:12" ht="15">
      <c r="A612" s="136" t="s">
        <v>461</v>
      </c>
      <c r="B612" s="78">
        <v>2.0350000000000001</v>
      </c>
      <c r="C612" s="78">
        <v>0.95</v>
      </c>
      <c r="D612" s="78">
        <v>0.15</v>
      </c>
      <c r="E612" s="79">
        <f>D612*C612*B612</f>
        <v>0.28998750000000001</v>
      </c>
    </row>
    <row r="613" spans="1:12" ht="15">
      <c r="A613" s="136" t="s">
        <v>461</v>
      </c>
      <c r="B613" s="78">
        <v>2.0350000000000001</v>
      </c>
      <c r="C613" s="78">
        <v>0.95</v>
      </c>
      <c r="D613" s="78">
        <v>0.15</v>
      </c>
      <c r="E613" s="79">
        <f>D613*C613*B613</f>
        <v>0.28998750000000001</v>
      </c>
    </row>
    <row r="614" spans="1:12" ht="15">
      <c r="A614" s="136" t="s">
        <v>463</v>
      </c>
      <c r="B614" s="78">
        <v>1.85</v>
      </c>
      <c r="C614" s="78">
        <v>0.875</v>
      </c>
      <c r="D614" s="78">
        <v>0.15</v>
      </c>
      <c r="E614" s="79">
        <f t="shared" ref="E614:E616" si="101">D614*C614*B614</f>
        <v>0.24281250000000001</v>
      </c>
    </row>
    <row r="615" spans="1:12" ht="15">
      <c r="A615" s="136" t="s">
        <v>488</v>
      </c>
      <c r="B615" s="78">
        <v>0.92500000000000004</v>
      </c>
      <c r="C615" s="78">
        <v>0.875</v>
      </c>
      <c r="D615" s="78">
        <v>0.15</v>
      </c>
      <c r="E615" s="79">
        <f t="shared" si="101"/>
        <v>0.12140625000000001</v>
      </c>
    </row>
    <row r="616" spans="1:12" ht="15">
      <c r="A616" s="136" t="s">
        <v>465</v>
      </c>
      <c r="B616" s="78">
        <v>14</v>
      </c>
      <c r="C616" s="78">
        <v>0.95</v>
      </c>
      <c r="D616" s="78">
        <f>(1/2)*0.25*0.167</f>
        <v>2.0875000000000001E-2</v>
      </c>
      <c r="E616" s="79">
        <f t="shared" si="101"/>
        <v>0.27763750000000004</v>
      </c>
    </row>
    <row r="617" spans="1:12" ht="15">
      <c r="A617" s="136" t="s">
        <v>407</v>
      </c>
      <c r="B617" s="78"/>
      <c r="C617" s="78"/>
      <c r="D617" s="78"/>
      <c r="E617" s="79">
        <v>0.25</v>
      </c>
    </row>
    <row r="618" spans="1:12" ht="15.75" thickBot="1">
      <c r="A618" s="137"/>
      <c r="B618" s="80"/>
      <c r="C618" s="80"/>
      <c r="D618" s="80"/>
      <c r="E618" s="81"/>
    </row>
    <row r="619" spans="1:12" ht="13.5" thickBot="1">
      <c r="A619" s="921" t="s">
        <v>393</v>
      </c>
      <c r="B619" s="922"/>
      <c r="C619" s="922"/>
      <c r="D619" s="923"/>
      <c r="E619" s="111">
        <f>SUM(E611:E618)</f>
        <v>1.4718312500000001</v>
      </c>
    </row>
    <row r="621" spans="1:12" ht="13.5" thickBot="1"/>
    <row r="622" spans="1:12" ht="15.75" thickBot="1">
      <c r="A622" s="125" t="s">
        <v>489</v>
      </c>
      <c r="B622" s="92">
        <f>D626</f>
        <v>0</v>
      </c>
      <c r="C622" s="95" t="s">
        <v>66</v>
      </c>
      <c r="H622" s="94" t="str">
        <f>A622</f>
        <v>RC WALL</v>
      </c>
      <c r="I622" s="92">
        <f>SUM(L626:L626)</f>
        <v>0</v>
      </c>
      <c r="J622" s="95" t="s">
        <v>84</v>
      </c>
      <c r="K622" s="99"/>
    </row>
    <row r="623" spans="1:12" ht="13.5" thickBot="1"/>
    <row r="624" spans="1:12" ht="13.5" thickBot="1">
      <c r="A624" s="107" t="s">
        <v>382</v>
      </c>
      <c r="B624" s="109" t="s">
        <v>383</v>
      </c>
      <c r="C624" s="109" t="s">
        <v>384</v>
      </c>
      <c r="D624" s="109" t="s">
        <v>385</v>
      </c>
      <c r="E624" s="107" t="s">
        <v>386</v>
      </c>
      <c r="H624" s="107" t="s">
        <v>382</v>
      </c>
      <c r="I624" s="109" t="s">
        <v>383</v>
      </c>
      <c r="J624" s="109" t="s">
        <v>384</v>
      </c>
      <c r="K624" s="212"/>
      <c r="L624" s="110" t="s">
        <v>475</v>
      </c>
    </row>
    <row r="625" spans="1:14">
      <c r="A625" s="82"/>
      <c r="B625" s="82"/>
      <c r="C625" s="82"/>
      <c r="D625" s="82"/>
      <c r="E625" s="82"/>
      <c r="H625" s="82"/>
      <c r="I625" s="82"/>
      <c r="J625" s="82"/>
      <c r="K625" s="82"/>
      <c r="L625" s="82"/>
    </row>
    <row r="626" spans="1:14" ht="15">
      <c r="A626" s="123" t="str">
        <f>A630</f>
        <v>100mm tk</v>
      </c>
      <c r="B626" s="78">
        <f>N630</f>
        <v>0</v>
      </c>
      <c r="C626" s="78">
        <v>0</v>
      </c>
      <c r="D626" s="78">
        <v>0</v>
      </c>
      <c r="E626" s="79">
        <f>D626*C626*B626</f>
        <v>0</v>
      </c>
      <c r="H626" s="123" t="str">
        <f>A626</f>
        <v>100mm tk</v>
      </c>
      <c r="I626" s="78">
        <f>B626</f>
        <v>0</v>
      </c>
      <c r="J626" s="78">
        <f>C626+D626+D626</f>
        <v>0</v>
      </c>
      <c r="K626" s="78"/>
      <c r="L626" s="79">
        <f>J626*I626</f>
        <v>0</v>
      </c>
    </row>
    <row r="627" spans="1:14" ht="13.5" thickBot="1">
      <c r="A627" s="80"/>
      <c r="B627" s="80"/>
      <c r="C627" s="80"/>
      <c r="D627" s="80"/>
      <c r="E627" s="80"/>
      <c r="H627" s="80"/>
      <c r="I627" s="80"/>
      <c r="J627" s="80"/>
      <c r="K627" s="80"/>
      <c r="L627" s="80"/>
    </row>
    <row r="628" spans="1:14" ht="13.5" thickBot="1"/>
    <row r="629" spans="1:14" ht="13.5" thickBot="1">
      <c r="A629" s="119" t="s">
        <v>490</v>
      </c>
    </row>
    <row r="630" spans="1:14">
      <c r="A630" s="596" t="s">
        <v>491</v>
      </c>
      <c r="B630" s="100">
        <v>0</v>
      </c>
      <c r="C630" s="100">
        <v>0</v>
      </c>
      <c r="D630" s="100">
        <v>0</v>
      </c>
      <c r="E630" s="100">
        <v>0</v>
      </c>
      <c r="F630" s="100">
        <v>0</v>
      </c>
      <c r="G630" s="100">
        <v>0</v>
      </c>
      <c r="H630" s="100">
        <v>0</v>
      </c>
      <c r="I630" s="100">
        <v>0</v>
      </c>
      <c r="J630" s="100">
        <v>0</v>
      </c>
      <c r="K630" s="100"/>
      <c r="L630" s="100">
        <v>0</v>
      </c>
      <c r="M630" s="100">
        <v>0</v>
      </c>
      <c r="N630" s="114">
        <f>SUM(B630:M630)</f>
        <v>0</v>
      </c>
    </row>
    <row r="631" spans="1:14" ht="13.5" thickBot="1"/>
    <row r="632" spans="1:14" ht="15.75" thickBot="1">
      <c r="A632" s="206" t="s">
        <v>466</v>
      </c>
    </row>
    <row r="633" spans="1:14" ht="15.75" thickBot="1">
      <c r="A633" s="94" t="s">
        <v>421</v>
      </c>
      <c r="B633" s="128">
        <f>F641</f>
        <v>2.4900000000000002</v>
      </c>
      <c r="C633" s="95" t="s">
        <v>66</v>
      </c>
      <c r="D633" s="226" t="s">
        <v>385</v>
      </c>
      <c r="E633" s="120">
        <v>3</v>
      </c>
      <c r="F633" s="121" t="s">
        <v>422</v>
      </c>
      <c r="H633" s="94" t="s">
        <v>421</v>
      </c>
      <c r="I633" s="129">
        <f>M641</f>
        <v>0</v>
      </c>
      <c r="J633" s="130" t="s">
        <v>84</v>
      </c>
      <c r="K633" s="130"/>
      <c r="L633" s="225" t="s">
        <v>385</v>
      </c>
      <c r="M633" s="112">
        <v>3</v>
      </c>
      <c r="N633" s="126" t="s">
        <v>422</v>
      </c>
    </row>
    <row r="634" spans="1:14" ht="13.5" thickBot="1"/>
    <row r="635" spans="1:14" s="127" customFormat="1" ht="16.5" customHeight="1" thickBot="1">
      <c r="A635" s="131" t="s">
        <v>382</v>
      </c>
      <c r="B635" s="132" t="s">
        <v>291</v>
      </c>
      <c r="C635" s="132" t="s">
        <v>383</v>
      </c>
      <c r="D635" s="132" t="s">
        <v>384</v>
      </c>
      <c r="E635" s="132" t="s">
        <v>385</v>
      </c>
      <c r="F635" s="133" t="s">
        <v>386</v>
      </c>
      <c r="H635" s="131" t="s">
        <v>382</v>
      </c>
      <c r="I635" s="132" t="s">
        <v>291</v>
      </c>
      <c r="J635" s="132" t="s">
        <v>383</v>
      </c>
      <c r="K635" s="132"/>
      <c r="L635" s="207" t="s">
        <v>385</v>
      </c>
      <c r="M635" s="133" t="s">
        <v>386</v>
      </c>
    </row>
    <row r="636" spans="1:14">
      <c r="A636" s="82"/>
      <c r="B636" s="82"/>
      <c r="C636" s="82"/>
      <c r="D636" s="82"/>
      <c r="E636" s="82"/>
      <c r="F636" s="82"/>
      <c r="H636" s="82"/>
      <c r="I636" s="82"/>
      <c r="J636" s="82"/>
      <c r="K636" s="82"/>
      <c r="L636" s="82"/>
      <c r="M636" s="82"/>
    </row>
    <row r="637" spans="1:14" ht="15">
      <c r="A637" s="123" t="s">
        <v>423</v>
      </c>
      <c r="B637" s="78">
        <v>13</v>
      </c>
      <c r="C637" s="78">
        <v>0.3</v>
      </c>
      <c r="D637" s="78">
        <v>0.2</v>
      </c>
      <c r="E637" s="78">
        <f>E633</f>
        <v>3</v>
      </c>
      <c r="F637" s="79">
        <f>E637*D637*C637*B637</f>
        <v>2.3400000000000003</v>
      </c>
      <c r="H637" s="123" t="s">
        <v>423</v>
      </c>
      <c r="I637" s="78">
        <f>B637</f>
        <v>13</v>
      </c>
      <c r="J637" s="78">
        <f>2*(C637+D637)</f>
        <v>1</v>
      </c>
      <c r="K637" s="78"/>
      <c r="L637" s="78">
        <f>M633</f>
        <v>3</v>
      </c>
      <c r="M637" s="79">
        <f>L637*J637*I637</f>
        <v>39</v>
      </c>
    </row>
    <row r="638" spans="1:14" ht="15">
      <c r="A638" s="123" t="s">
        <v>424</v>
      </c>
      <c r="B638" s="78">
        <v>1</v>
      </c>
      <c r="C638" s="78">
        <v>0.25</v>
      </c>
      <c r="D638" s="78">
        <v>0.2</v>
      </c>
      <c r="E638" s="78">
        <f>E633</f>
        <v>3</v>
      </c>
      <c r="F638" s="79">
        <f>E638*D638*C638*B638</f>
        <v>0.15000000000000002</v>
      </c>
      <c r="H638" s="123" t="s">
        <v>424</v>
      </c>
      <c r="I638" s="78">
        <f>B638</f>
        <v>1</v>
      </c>
      <c r="J638" s="78">
        <f t="shared" ref="J638:J639" si="102">2*(C638+D638)</f>
        <v>0.9</v>
      </c>
      <c r="K638" s="78"/>
      <c r="L638" s="78">
        <f>M633</f>
        <v>3</v>
      </c>
      <c r="M638" s="79">
        <f>L638*J638*I638</f>
        <v>2.7</v>
      </c>
    </row>
    <row r="639" spans="1:14" ht="15">
      <c r="A639" s="123" t="s">
        <v>425</v>
      </c>
      <c r="B639" s="78">
        <v>0</v>
      </c>
      <c r="C639" s="78">
        <v>0.2</v>
      </c>
      <c r="D639" s="78">
        <v>0.2</v>
      </c>
      <c r="E639" s="78">
        <f>E633</f>
        <v>3</v>
      </c>
      <c r="F639" s="79">
        <f>E639*D639*C639*B639</f>
        <v>0</v>
      </c>
      <c r="H639" s="123" t="s">
        <v>425</v>
      </c>
      <c r="I639" s="78">
        <f>B639</f>
        <v>0</v>
      </c>
      <c r="J639" s="78">
        <f t="shared" si="102"/>
        <v>0.8</v>
      </c>
      <c r="K639" s="78"/>
      <c r="L639" s="78">
        <f>M633</f>
        <v>3</v>
      </c>
      <c r="M639" s="79">
        <f>L639*J639*I639</f>
        <v>0</v>
      </c>
    </row>
    <row r="640" spans="1:14" ht="15.75" thickBot="1">
      <c r="A640" s="124"/>
      <c r="B640" s="80"/>
      <c r="C640" s="80"/>
      <c r="D640" s="80"/>
      <c r="E640" s="80"/>
      <c r="F640" s="81"/>
      <c r="H640" s="124"/>
      <c r="I640" s="80"/>
      <c r="J640" s="80"/>
      <c r="K640" s="80"/>
      <c r="L640" s="80"/>
      <c r="M640" s="81"/>
    </row>
    <row r="641" spans="1:22" ht="13.5" thickBot="1">
      <c r="A641" s="921" t="s">
        <v>393</v>
      </c>
      <c r="B641" s="922"/>
      <c r="C641" s="922"/>
      <c r="D641" s="922"/>
      <c r="E641" s="923"/>
      <c r="F641" s="111">
        <f>SUM(F636:F640)</f>
        <v>2.4900000000000002</v>
      </c>
      <c r="H641" s="921" t="s">
        <v>393</v>
      </c>
      <c r="I641" s="922"/>
      <c r="J641" s="922"/>
      <c r="K641" s="922"/>
      <c r="L641" s="923"/>
      <c r="M641" s="111">
        <f>SUM(M639:M640)</f>
        <v>0</v>
      </c>
    </row>
    <row r="642" spans="1:22">
      <c r="A642" s="134"/>
      <c r="B642" s="135"/>
      <c r="C642" s="135"/>
      <c r="D642" s="135"/>
      <c r="E642" s="135"/>
      <c r="F642" s="101"/>
      <c r="H642" s="134"/>
      <c r="I642" s="135"/>
      <c r="J642" s="135"/>
      <c r="K642" s="135"/>
      <c r="L642" s="135"/>
      <c r="M642" s="101"/>
    </row>
    <row r="643" spans="1:22" ht="13.5" thickBot="1">
      <c r="A643" s="134"/>
      <c r="B643" s="135"/>
      <c r="C643" s="135"/>
      <c r="D643" s="135"/>
      <c r="E643" s="135"/>
      <c r="F643" s="101"/>
      <c r="H643" s="134"/>
      <c r="I643" s="135"/>
      <c r="J643" s="135"/>
      <c r="K643" s="135"/>
      <c r="L643" s="135"/>
      <c r="M643" s="101"/>
    </row>
    <row r="644" spans="1:22" ht="15.75" thickBot="1">
      <c r="A644" s="125" t="s">
        <v>479</v>
      </c>
      <c r="B644" s="92">
        <f>E648</f>
        <v>3.1689680000000005</v>
      </c>
      <c r="C644" s="95" t="s">
        <v>66</v>
      </c>
      <c r="H644" s="94" t="s">
        <v>479</v>
      </c>
      <c r="I644" s="115">
        <f>SUM(L648:L648)</f>
        <v>46.094080000000005</v>
      </c>
      <c r="J644" s="116" t="s">
        <v>84</v>
      </c>
      <c r="K644" s="211"/>
    </row>
    <row r="645" spans="1:22" ht="13.5" thickBot="1"/>
    <row r="646" spans="1:22" ht="13.5" thickBot="1">
      <c r="A646" s="107" t="s">
        <v>382</v>
      </c>
      <c r="B646" s="109" t="s">
        <v>383</v>
      </c>
      <c r="C646" s="109" t="s">
        <v>384</v>
      </c>
      <c r="D646" s="109" t="s">
        <v>385</v>
      </c>
      <c r="E646" s="110" t="s">
        <v>386</v>
      </c>
      <c r="H646" s="107" t="s">
        <v>382</v>
      </c>
      <c r="I646" s="109" t="s">
        <v>383</v>
      </c>
      <c r="J646" s="109" t="s">
        <v>384</v>
      </c>
      <c r="K646" s="212"/>
      <c r="L646" s="110" t="s">
        <v>387</v>
      </c>
    </row>
    <row r="647" spans="1:22">
      <c r="A647" s="82"/>
      <c r="B647" s="82"/>
      <c r="C647" s="82"/>
      <c r="D647" s="82"/>
      <c r="E647" s="82"/>
      <c r="H647" s="82"/>
      <c r="I647" s="82"/>
      <c r="J647" s="82"/>
      <c r="K647" s="82"/>
      <c r="L647" s="82"/>
    </row>
    <row r="648" spans="1:22" ht="15">
      <c r="A648" s="136" t="s">
        <v>480</v>
      </c>
      <c r="B648" s="78">
        <f>U653</f>
        <v>72.022000000000006</v>
      </c>
      <c r="C648" s="78">
        <v>0.2</v>
      </c>
      <c r="D648" s="78">
        <v>0.22</v>
      </c>
      <c r="E648" s="79">
        <f>D648*C648*B648</f>
        <v>3.1689680000000005</v>
      </c>
      <c r="H648" s="123" t="str">
        <f>A648</f>
        <v>B1-B6</v>
      </c>
      <c r="I648" s="78">
        <f>B648</f>
        <v>72.022000000000006</v>
      </c>
      <c r="J648" s="78">
        <f>C648+D648+D648</f>
        <v>0.64</v>
      </c>
      <c r="K648" s="78"/>
      <c r="L648" s="79">
        <f>J648*I648</f>
        <v>46.094080000000005</v>
      </c>
    </row>
    <row r="649" spans="1:22" ht="15.75" thickBot="1">
      <c r="A649" s="137"/>
      <c r="B649" s="80"/>
      <c r="C649" s="80"/>
      <c r="D649" s="80"/>
      <c r="E649" s="81"/>
      <c r="H649" s="124"/>
      <c r="I649" s="80"/>
      <c r="J649" s="80"/>
      <c r="K649" s="80"/>
      <c r="L649" s="81"/>
    </row>
    <row r="650" spans="1:22" ht="13.5" thickBot="1">
      <c r="A650" s="921" t="s">
        <v>393</v>
      </c>
      <c r="B650" s="922"/>
      <c r="C650" s="922"/>
      <c r="D650" s="923"/>
      <c r="E650" s="111">
        <f>SUM(E647:E649)</f>
        <v>3.1689680000000005</v>
      </c>
      <c r="H650" s="921" t="s">
        <v>393</v>
      </c>
      <c r="I650" s="922"/>
      <c r="J650" s="923"/>
      <c r="K650" s="205"/>
      <c r="L650" s="111">
        <f>SUM(L647:L649)</f>
        <v>46.094080000000005</v>
      </c>
    </row>
    <row r="651" spans="1:22" ht="15.75" thickBot="1">
      <c r="A651" s="102"/>
      <c r="F651" s="102"/>
      <c r="G651" s="99"/>
    </row>
    <row r="652" spans="1:22" ht="13.5" thickBot="1">
      <c r="A652" s="119" t="s">
        <v>481</v>
      </c>
    </row>
    <row r="653" spans="1:22" ht="15">
      <c r="A653" s="103" t="s">
        <v>482</v>
      </c>
      <c r="B653" s="113">
        <v>15.391999999999999</v>
      </c>
      <c r="C653" s="113">
        <v>15.391999999999999</v>
      </c>
      <c r="D653" s="113">
        <v>15.391999999999999</v>
      </c>
      <c r="E653" s="113">
        <f>6*3.7</f>
        <v>22.200000000000003</v>
      </c>
      <c r="F653" s="113">
        <v>3.6459999999999999</v>
      </c>
      <c r="G653" s="113">
        <v>0</v>
      </c>
      <c r="H653" s="100">
        <v>0</v>
      </c>
      <c r="I653" s="100">
        <v>0</v>
      </c>
      <c r="J653" s="100">
        <v>0</v>
      </c>
      <c r="K653" s="100"/>
      <c r="L653" s="100">
        <v>0</v>
      </c>
      <c r="M653" s="100">
        <v>0</v>
      </c>
      <c r="N653" s="761">
        <v>0</v>
      </c>
      <c r="O653" s="100">
        <v>0</v>
      </c>
      <c r="P653" s="100">
        <v>0</v>
      </c>
      <c r="Q653" s="100">
        <v>0</v>
      </c>
      <c r="R653" s="100">
        <v>0</v>
      </c>
      <c r="S653" s="100">
        <v>0</v>
      </c>
      <c r="T653" s="100">
        <v>0</v>
      </c>
      <c r="U653" s="114">
        <f>SUM(B653:T653)</f>
        <v>72.022000000000006</v>
      </c>
      <c r="V653" s="104"/>
    </row>
    <row r="654" spans="1:22" ht="13.5" thickBot="1"/>
    <row r="655" spans="1:22" ht="15.75" thickBot="1">
      <c r="A655" s="125" t="s">
        <v>441</v>
      </c>
      <c r="B655" s="92">
        <f>D662-D666</f>
        <v>12.270570000000001</v>
      </c>
      <c r="C655" s="95" t="s">
        <v>66</v>
      </c>
      <c r="H655" s="94" t="s">
        <v>441</v>
      </c>
      <c r="I655" s="92">
        <f>L662-L666</f>
        <v>101.58905000000001</v>
      </c>
      <c r="J655" s="95" t="s">
        <v>84</v>
      </c>
      <c r="K655" s="211"/>
    </row>
    <row r="656" spans="1:22" ht="13.5" thickBot="1"/>
    <row r="657" spans="1:22" ht="13.5" thickBot="1">
      <c r="A657" s="107" t="s">
        <v>382</v>
      </c>
      <c r="B657" s="109" t="s">
        <v>409</v>
      </c>
      <c r="C657" s="109" t="s">
        <v>385</v>
      </c>
      <c r="D657" s="109" t="s">
        <v>386</v>
      </c>
      <c r="H657" s="107" t="s">
        <v>382</v>
      </c>
      <c r="I657" s="109" t="s">
        <v>383</v>
      </c>
      <c r="J657" s="109" t="s">
        <v>384</v>
      </c>
      <c r="K657" s="212"/>
      <c r="L657" s="110" t="s">
        <v>443</v>
      </c>
    </row>
    <row r="658" spans="1:22">
      <c r="A658" s="213"/>
      <c r="B658" s="82"/>
      <c r="C658" s="82"/>
      <c r="D658" s="82"/>
      <c r="H658" s="213"/>
      <c r="I658" s="213"/>
      <c r="J658" s="82"/>
      <c r="K658" s="214"/>
      <c r="L658" s="215"/>
    </row>
    <row r="659" spans="1:22" ht="15">
      <c r="A659" s="216" t="s">
        <v>483</v>
      </c>
      <c r="B659" s="72">
        <f>U670</f>
        <v>98.799000000000007</v>
      </c>
      <c r="C659" s="78">
        <v>0.13</v>
      </c>
      <c r="D659" s="79">
        <f>C659*B659</f>
        <v>12.843870000000001</v>
      </c>
      <c r="H659" s="216" t="s">
        <v>483</v>
      </c>
      <c r="I659" s="74">
        <f>B659</f>
        <v>98.799000000000007</v>
      </c>
      <c r="J659" s="78">
        <v>0</v>
      </c>
      <c r="K659" s="96"/>
      <c r="L659" s="217">
        <f>I659</f>
        <v>98.799000000000007</v>
      </c>
    </row>
    <row r="660" spans="1:22" ht="15">
      <c r="A660" s="216" t="s">
        <v>484</v>
      </c>
      <c r="B660" s="78">
        <f>U671</f>
        <v>0</v>
      </c>
      <c r="C660" s="78">
        <v>0</v>
      </c>
      <c r="D660" s="79">
        <f>C660*B660</f>
        <v>0</v>
      </c>
      <c r="H660" s="216" t="s">
        <v>485</v>
      </c>
      <c r="I660" s="74">
        <v>46.884999999999998</v>
      </c>
      <c r="J660" s="78">
        <f>C659</f>
        <v>0.13</v>
      </c>
      <c r="L660" s="217">
        <f>J660*I660</f>
        <v>6.0950499999999996</v>
      </c>
    </row>
    <row r="661" spans="1:22" ht="15.75" thickBot="1">
      <c r="A661" s="216" t="s">
        <v>486</v>
      </c>
      <c r="B661" s="78">
        <f>U672</f>
        <v>0</v>
      </c>
      <c r="C661" s="78">
        <v>0</v>
      </c>
      <c r="D661" s="79">
        <f>C661*B661</f>
        <v>0</v>
      </c>
      <c r="H661" s="216" t="s">
        <v>487</v>
      </c>
      <c r="I661" s="74">
        <v>8.5</v>
      </c>
      <c r="J661" s="78">
        <f>C659</f>
        <v>0.13</v>
      </c>
      <c r="L661" s="217">
        <f>J661*I661</f>
        <v>1.105</v>
      </c>
    </row>
    <row r="662" spans="1:22" ht="15.75" thickBot="1">
      <c r="A662" s="216"/>
      <c r="B662" s="78"/>
      <c r="C662" s="78"/>
      <c r="D662" s="224">
        <f>SUM(D659:D661)</f>
        <v>12.843870000000001</v>
      </c>
      <c r="H662" s="216"/>
      <c r="I662" s="74"/>
      <c r="J662" s="78"/>
      <c r="L662" s="224">
        <f>SUM(L659:L661)</f>
        <v>105.99905000000001</v>
      </c>
    </row>
    <row r="663" spans="1:22" ht="15">
      <c r="A663" s="218" t="s">
        <v>447</v>
      </c>
      <c r="B663" s="78"/>
      <c r="C663" s="78"/>
      <c r="D663" s="217"/>
      <c r="H663" s="218" t="s">
        <v>447</v>
      </c>
      <c r="I663" s="74"/>
      <c r="J663" s="78"/>
      <c r="L663" s="217"/>
    </row>
    <row r="664" spans="1:22" ht="15">
      <c r="A664" s="216" t="s">
        <v>449</v>
      </c>
      <c r="B664" s="78">
        <f>U674</f>
        <v>0</v>
      </c>
      <c r="C664" s="78">
        <v>0</v>
      </c>
      <c r="D664" s="79">
        <f>C664*B664</f>
        <v>0</v>
      </c>
      <c r="H664" s="216" t="s">
        <v>449</v>
      </c>
      <c r="I664" s="74">
        <f>B664</f>
        <v>0</v>
      </c>
      <c r="J664" s="78"/>
      <c r="L664" s="217">
        <f>I664</f>
        <v>0</v>
      </c>
    </row>
    <row r="665" spans="1:22" ht="15.75" thickBot="1">
      <c r="A665" s="216" t="s">
        <v>451</v>
      </c>
      <c r="B665" s="78">
        <f>U675</f>
        <v>4.41</v>
      </c>
      <c r="C665" s="78">
        <v>0.13</v>
      </c>
      <c r="D665" s="217">
        <f>C665*B665</f>
        <v>0.57330000000000003</v>
      </c>
      <c r="H665" s="216" t="s">
        <v>451</v>
      </c>
      <c r="I665" s="74">
        <f>B665</f>
        <v>4.41</v>
      </c>
      <c r="J665" s="78">
        <v>0</v>
      </c>
      <c r="L665" s="217">
        <f>I665</f>
        <v>4.41</v>
      </c>
    </row>
    <row r="666" spans="1:22" ht="15.75" thickBot="1">
      <c r="A666" s="216"/>
      <c r="B666" s="78"/>
      <c r="C666" s="78"/>
      <c r="D666" s="224">
        <f>SUM(D664:D665)</f>
        <v>0.57330000000000003</v>
      </c>
      <c r="H666" s="216"/>
      <c r="I666" s="74"/>
      <c r="J666" s="78"/>
      <c r="L666" s="224">
        <f>SUM(L664:L665)</f>
        <v>4.41</v>
      </c>
    </row>
    <row r="667" spans="1:22" ht="13.5" thickBot="1">
      <c r="A667" s="219"/>
      <c r="B667" s="80"/>
      <c r="C667" s="80"/>
      <c r="D667" s="221"/>
      <c r="H667" s="219"/>
      <c r="I667" s="219"/>
      <c r="J667" s="80"/>
      <c r="K667" s="220"/>
      <c r="L667" s="221"/>
    </row>
    <row r="668" spans="1:22" ht="13.5" thickBot="1"/>
    <row r="669" spans="1:22" ht="13.5" thickBot="1">
      <c r="A669" s="119" t="s">
        <v>454</v>
      </c>
    </row>
    <row r="670" spans="1:22" ht="15.75" thickBot="1">
      <c r="A670" s="103" t="str">
        <f>A659</f>
        <v>Total Slab</v>
      </c>
      <c r="B670" s="100">
        <v>98.799000000000007</v>
      </c>
      <c r="C670" s="100">
        <v>0</v>
      </c>
      <c r="D670" s="100">
        <v>0</v>
      </c>
      <c r="E670" s="100">
        <v>0</v>
      </c>
      <c r="F670" s="100">
        <v>0</v>
      </c>
      <c r="G670" s="100">
        <v>0</v>
      </c>
      <c r="H670" s="100">
        <v>0</v>
      </c>
      <c r="I670" s="100">
        <v>0</v>
      </c>
      <c r="J670" s="100">
        <v>0</v>
      </c>
      <c r="K670" s="100"/>
      <c r="L670" s="100">
        <v>0</v>
      </c>
      <c r="M670" s="100">
        <v>0</v>
      </c>
      <c r="N670" s="761">
        <v>0</v>
      </c>
      <c r="O670" s="100">
        <v>0</v>
      </c>
      <c r="P670" s="100">
        <v>0</v>
      </c>
      <c r="Q670" s="100">
        <v>0</v>
      </c>
      <c r="R670" s="100">
        <v>0</v>
      </c>
      <c r="S670" s="100">
        <v>0</v>
      </c>
      <c r="T670" s="100">
        <v>0</v>
      </c>
      <c r="U670" s="114">
        <f>SUM(B670:T670)</f>
        <v>98.799000000000007</v>
      </c>
      <c r="V670" s="104"/>
    </row>
    <row r="671" spans="1:22" ht="15.75" thickBot="1">
      <c r="A671" s="103" t="str">
        <f>A660</f>
        <v>Shaded Slab</v>
      </c>
      <c r="B671" s="100">
        <v>0</v>
      </c>
      <c r="C671" s="100">
        <v>0</v>
      </c>
      <c r="D671" s="100">
        <v>0</v>
      </c>
      <c r="E671" s="100">
        <v>0</v>
      </c>
      <c r="F671" s="100">
        <v>0</v>
      </c>
      <c r="G671" s="100">
        <v>0</v>
      </c>
      <c r="H671" s="100">
        <v>0</v>
      </c>
      <c r="I671" s="100">
        <v>0</v>
      </c>
      <c r="J671" s="100">
        <v>0</v>
      </c>
      <c r="K671" s="100"/>
      <c r="L671" s="100">
        <v>0</v>
      </c>
      <c r="M671" s="100">
        <v>0</v>
      </c>
      <c r="N671" s="761">
        <v>0</v>
      </c>
      <c r="O671" s="100">
        <v>0</v>
      </c>
      <c r="P671" s="100">
        <v>0</v>
      </c>
      <c r="Q671" s="100">
        <v>0</v>
      </c>
      <c r="R671" s="100">
        <v>0</v>
      </c>
      <c r="S671" s="100">
        <v>0</v>
      </c>
      <c r="T671" s="100">
        <v>0</v>
      </c>
      <c r="U671" s="114">
        <f>SUM(B671:T671)</f>
        <v>0</v>
      </c>
      <c r="V671" s="104"/>
    </row>
    <row r="672" spans="1:22" ht="15">
      <c r="A672" s="103" t="str">
        <f>A661</f>
        <v>Cantilever</v>
      </c>
      <c r="B672" s="100">
        <v>0</v>
      </c>
      <c r="C672" s="100">
        <v>0</v>
      </c>
      <c r="D672" s="100">
        <v>0</v>
      </c>
      <c r="E672" s="100">
        <v>0</v>
      </c>
      <c r="F672" s="100">
        <v>0</v>
      </c>
      <c r="G672" s="100">
        <v>0</v>
      </c>
      <c r="H672" s="100">
        <v>0</v>
      </c>
      <c r="I672" s="100">
        <v>0</v>
      </c>
      <c r="J672" s="100">
        <v>0</v>
      </c>
      <c r="K672" s="100"/>
      <c r="L672" s="100">
        <v>0</v>
      </c>
      <c r="M672" s="100">
        <v>0</v>
      </c>
      <c r="N672" s="761">
        <v>0</v>
      </c>
      <c r="O672" s="100">
        <v>0</v>
      </c>
      <c r="P672" s="100">
        <v>0</v>
      </c>
      <c r="Q672" s="100">
        <v>0</v>
      </c>
      <c r="R672" s="100">
        <v>0</v>
      </c>
      <c r="S672" s="100">
        <v>0</v>
      </c>
      <c r="T672" s="100">
        <v>0</v>
      </c>
      <c r="U672" s="114">
        <f>SUM(B672:T672)</f>
        <v>0</v>
      </c>
      <c r="V672" s="104"/>
    </row>
    <row r="673" spans="1:22" ht="15.75" thickBot="1">
      <c r="A673" s="222" t="str">
        <f>A663</f>
        <v>Deduction</v>
      </c>
    </row>
    <row r="674" spans="1:22" ht="15.75" thickBot="1">
      <c r="A674" s="103" t="str">
        <f>A664</f>
        <v>Lift Void</v>
      </c>
      <c r="B674" s="100">
        <v>0</v>
      </c>
      <c r="C674" s="100">
        <v>0</v>
      </c>
      <c r="D674" s="100">
        <v>0</v>
      </c>
      <c r="E674" s="100">
        <v>0</v>
      </c>
      <c r="F674" s="100">
        <v>0</v>
      </c>
      <c r="G674" s="100">
        <v>0</v>
      </c>
      <c r="H674" s="100">
        <v>0</v>
      </c>
      <c r="I674" s="100">
        <v>0</v>
      </c>
      <c r="J674" s="100">
        <v>0</v>
      </c>
      <c r="K674" s="100"/>
      <c r="L674" s="100">
        <v>0</v>
      </c>
      <c r="M674" s="100">
        <v>0</v>
      </c>
      <c r="N674" s="761">
        <v>0</v>
      </c>
      <c r="O674" s="100">
        <v>0</v>
      </c>
      <c r="P674" s="100">
        <v>0</v>
      </c>
      <c r="Q674" s="100">
        <v>0</v>
      </c>
      <c r="R674" s="100">
        <v>0</v>
      </c>
      <c r="S674" s="100">
        <v>0</v>
      </c>
      <c r="T674" s="100">
        <v>0</v>
      </c>
      <c r="U674" s="114">
        <f>SUM(B674:T674)</f>
        <v>0</v>
      </c>
      <c r="V674" s="104"/>
    </row>
    <row r="675" spans="1:22" ht="15">
      <c r="A675" s="103" t="str">
        <f>A665</f>
        <v>Stair Well</v>
      </c>
      <c r="B675" s="100">
        <v>4.41</v>
      </c>
      <c r="C675" s="100">
        <v>0</v>
      </c>
      <c r="D675" s="100">
        <v>0</v>
      </c>
      <c r="E675" s="100">
        <v>0</v>
      </c>
      <c r="F675" s="100">
        <v>0</v>
      </c>
      <c r="G675" s="100">
        <v>0</v>
      </c>
      <c r="H675" s="100">
        <v>0</v>
      </c>
      <c r="I675" s="100">
        <v>0</v>
      </c>
      <c r="J675" s="100">
        <v>0</v>
      </c>
      <c r="K675" s="100"/>
      <c r="L675" s="100">
        <v>0</v>
      </c>
      <c r="M675" s="100">
        <v>0</v>
      </c>
      <c r="N675" s="761">
        <v>0</v>
      </c>
      <c r="O675" s="100">
        <v>0</v>
      </c>
      <c r="P675" s="100">
        <v>0</v>
      </c>
      <c r="Q675" s="100">
        <v>0</v>
      </c>
      <c r="R675" s="100">
        <v>0</v>
      </c>
      <c r="S675" s="100">
        <v>0</v>
      </c>
      <c r="T675" s="100">
        <v>0</v>
      </c>
      <c r="U675" s="114">
        <f>SUM(B675:T675)</f>
        <v>4.41</v>
      </c>
      <c r="V675" s="104"/>
    </row>
    <row r="676" spans="1:22" ht="13.5" thickBot="1"/>
    <row r="677" spans="1:22" ht="15.75" thickBot="1">
      <c r="A677" s="125" t="s">
        <v>459</v>
      </c>
      <c r="B677" s="92">
        <f>E688</f>
        <v>1.4718312500000001</v>
      </c>
      <c r="C677" s="95" t="s">
        <v>66</v>
      </c>
      <c r="H677" s="274"/>
      <c r="I677" s="102"/>
      <c r="J677" s="99"/>
      <c r="K677" s="99"/>
    </row>
    <row r="678" spans="1:22" ht="13.5" thickBot="1"/>
    <row r="679" spans="1:22" ht="13.5" thickBot="1">
      <c r="A679" s="107" t="s">
        <v>382</v>
      </c>
      <c r="B679" s="109" t="s">
        <v>383</v>
      </c>
      <c r="C679" s="109" t="s">
        <v>384</v>
      </c>
      <c r="D679" s="108" t="s">
        <v>460</v>
      </c>
      <c r="E679" s="110" t="s">
        <v>386</v>
      </c>
    </row>
    <row r="680" spans="1:22">
      <c r="A680" s="82"/>
      <c r="B680" s="82"/>
      <c r="C680" s="82"/>
      <c r="D680" s="82"/>
      <c r="E680" s="82"/>
    </row>
    <row r="681" spans="1:22" ht="15">
      <c r="A681" s="136" t="s">
        <v>461</v>
      </c>
      <c r="B681" s="78">
        <v>2.0350000000000001</v>
      </c>
      <c r="C681" s="78">
        <v>0.95</v>
      </c>
      <c r="D681" s="78">
        <v>0.15</v>
      </c>
      <c r="E681" s="79">
        <f>D681*C681*B681</f>
        <v>0.28998750000000001</v>
      </c>
    </row>
    <row r="682" spans="1:22" ht="15">
      <c r="A682" s="136" t="s">
        <v>461</v>
      </c>
      <c r="B682" s="78">
        <v>2.0350000000000001</v>
      </c>
      <c r="C682" s="78">
        <v>0.95</v>
      </c>
      <c r="D682" s="78">
        <v>0.15</v>
      </c>
      <c r="E682" s="79">
        <f>D682*C682*B682</f>
        <v>0.28998750000000001</v>
      </c>
    </row>
    <row r="683" spans="1:22" ht="15">
      <c r="A683" s="136" t="s">
        <v>463</v>
      </c>
      <c r="B683" s="78">
        <v>1.85</v>
      </c>
      <c r="C683" s="78">
        <v>0.875</v>
      </c>
      <c r="D683" s="78">
        <v>0.15</v>
      </c>
      <c r="E683" s="79">
        <f t="shared" ref="E683:E685" si="103">D683*C683*B683</f>
        <v>0.24281250000000001</v>
      </c>
    </row>
    <row r="684" spans="1:22" ht="15">
      <c r="A684" s="136" t="s">
        <v>488</v>
      </c>
      <c r="B684" s="78">
        <v>0.92500000000000004</v>
      </c>
      <c r="C684" s="78">
        <v>0.875</v>
      </c>
      <c r="D684" s="78">
        <v>0.15</v>
      </c>
      <c r="E684" s="79">
        <f t="shared" si="103"/>
        <v>0.12140625000000001</v>
      </c>
    </row>
    <row r="685" spans="1:22" ht="15">
      <c r="A685" s="136" t="s">
        <v>465</v>
      </c>
      <c r="B685" s="78">
        <v>14</v>
      </c>
      <c r="C685" s="78">
        <v>0.95</v>
      </c>
      <c r="D685" s="78">
        <f>(1/2)*0.25*0.167</f>
        <v>2.0875000000000001E-2</v>
      </c>
      <c r="E685" s="79">
        <f t="shared" si="103"/>
        <v>0.27763750000000004</v>
      </c>
    </row>
    <row r="686" spans="1:22" ht="15">
      <c r="A686" s="136" t="s">
        <v>407</v>
      </c>
      <c r="B686" s="78"/>
      <c r="C686" s="78"/>
      <c r="D686" s="78"/>
      <c r="E686" s="79">
        <v>0.25</v>
      </c>
    </row>
    <row r="687" spans="1:22" ht="15.75" thickBot="1">
      <c r="A687" s="137"/>
      <c r="B687" s="80"/>
      <c r="C687" s="80"/>
      <c r="D687" s="80"/>
      <c r="E687" s="81"/>
    </row>
    <row r="688" spans="1:22" ht="13.5" thickBot="1">
      <c r="A688" s="921" t="s">
        <v>393</v>
      </c>
      <c r="B688" s="922"/>
      <c r="C688" s="922"/>
      <c r="D688" s="923"/>
      <c r="E688" s="111">
        <f>SUM(E680:E687)</f>
        <v>1.4718312500000001</v>
      </c>
    </row>
    <row r="690" spans="1:14" ht="13.5" thickBot="1"/>
    <row r="691" spans="1:14" ht="15.75" thickBot="1">
      <c r="A691" s="125" t="s">
        <v>489</v>
      </c>
      <c r="B691" s="92">
        <f>D695</f>
        <v>0</v>
      </c>
      <c r="C691" s="95" t="s">
        <v>66</v>
      </c>
      <c r="H691" s="94" t="str">
        <f>A691</f>
        <v>RC WALL</v>
      </c>
      <c r="I691" s="92">
        <f>SUM(L695:L695)</f>
        <v>0</v>
      </c>
      <c r="J691" s="95" t="s">
        <v>84</v>
      </c>
      <c r="K691" s="99"/>
    </row>
    <row r="692" spans="1:14" ht="13.5" thickBot="1"/>
    <row r="693" spans="1:14" ht="13.5" thickBot="1">
      <c r="A693" s="107" t="s">
        <v>382</v>
      </c>
      <c r="B693" s="109" t="s">
        <v>383</v>
      </c>
      <c r="C693" s="109" t="s">
        <v>384</v>
      </c>
      <c r="D693" s="109" t="s">
        <v>385</v>
      </c>
      <c r="E693" s="107" t="s">
        <v>386</v>
      </c>
      <c r="H693" s="107" t="s">
        <v>382</v>
      </c>
      <c r="I693" s="109" t="s">
        <v>383</v>
      </c>
      <c r="J693" s="109" t="s">
        <v>384</v>
      </c>
      <c r="K693" s="212"/>
      <c r="L693" s="110" t="s">
        <v>475</v>
      </c>
    </row>
    <row r="694" spans="1:14">
      <c r="A694" s="82"/>
      <c r="B694" s="82"/>
      <c r="C694" s="82"/>
      <c r="D694" s="82"/>
      <c r="E694" s="82"/>
      <c r="H694" s="82"/>
      <c r="I694" s="82"/>
      <c r="J694" s="82"/>
      <c r="K694" s="82"/>
      <c r="L694" s="82"/>
    </row>
    <row r="695" spans="1:14" ht="15">
      <c r="A695" s="123" t="str">
        <f>A699</f>
        <v>100mm tk</v>
      </c>
      <c r="B695" s="78">
        <f>N699</f>
        <v>0</v>
      </c>
      <c r="C695" s="78">
        <v>0</v>
      </c>
      <c r="D695" s="78">
        <v>0</v>
      </c>
      <c r="E695" s="79">
        <f>D695*C695*B695</f>
        <v>0</v>
      </c>
      <c r="H695" s="123" t="str">
        <f>A695</f>
        <v>100mm tk</v>
      </c>
      <c r="I695" s="78">
        <f>B695</f>
        <v>0</v>
      </c>
      <c r="J695" s="78">
        <f>C695+D695+D695</f>
        <v>0</v>
      </c>
      <c r="K695" s="78"/>
      <c r="L695" s="79">
        <f>J695*I695</f>
        <v>0</v>
      </c>
    </row>
    <row r="696" spans="1:14" ht="13.5" thickBot="1">
      <c r="A696" s="80"/>
      <c r="B696" s="80"/>
      <c r="C696" s="80"/>
      <c r="D696" s="80"/>
      <c r="E696" s="80"/>
      <c r="H696" s="80"/>
      <c r="I696" s="80"/>
      <c r="J696" s="80"/>
      <c r="K696" s="80"/>
      <c r="L696" s="80"/>
    </row>
    <row r="697" spans="1:14" ht="13.5" thickBot="1"/>
    <row r="698" spans="1:14" ht="13.5" thickBot="1">
      <c r="A698" s="119" t="s">
        <v>490</v>
      </c>
    </row>
    <row r="699" spans="1:14">
      <c r="A699" s="596" t="s">
        <v>491</v>
      </c>
      <c r="B699" s="100">
        <v>0</v>
      </c>
      <c r="C699" s="100">
        <v>0</v>
      </c>
      <c r="D699" s="100">
        <v>0</v>
      </c>
      <c r="E699" s="100">
        <v>0</v>
      </c>
      <c r="F699" s="100">
        <v>0</v>
      </c>
      <c r="G699" s="100">
        <v>0</v>
      </c>
      <c r="H699" s="100">
        <v>0</v>
      </c>
      <c r="I699" s="100">
        <v>0</v>
      </c>
      <c r="J699" s="100">
        <v>0</v>
      </c>
      <c r="K699" s="100"/>
      <c r="L699" s="100">
        <v>0</v>
      </c>
      <c r="M699" s="100">
        <v>0</v>
      </c>
      <c r="N699" s="114">
        <f>SUM(B699:M699)</f>
        <v>0</v>
      </c>
    </row>
    <row r="700" spans="1:14" ht="13.5" thickBot="1"/>
    <row r="701" spans="1:14" ht="15.75" thickBot="1">
      <c r="A701" s="206" t="s">
        <v>492</v>
      </c>
    </row>
    <row r="702" spans="1:14" ht="15.75" thickBot="1">
      <c r="A702" s="94" t="s">
        <v>421</v>
      </c>
      <c r="B702" s="128">
        <f>F710</f>
        <v>2.3400000000000003</v>
      </c>
      <c r="C702" s="95" t="s">
        <v>66</v>
      </c>
      <c r="D702" s="226" t="s">
        <v>385</v>
      </c>
      <c r="E702" s="120">
        <v>3</v>
      </c>
      <c r="F702" s="121" t="s">
        <v>422</v>
      </c>
      <c r="H702" s="94" t="s">
        <v>421</v>
      </c>
      <c r="I702" s="129">
        <f>M710</f>
        <v>0</v>
      </c>
      <c r="J702" s="130" t="s">
        <v>84</v>
      </c>
      <c r="K702" s="130"/>
      <c r="L702" s="225" t="s">
        <v>385</v>
      </c>
      <c r="M702" s="112">
        <v>3</v>
      </c>
      <c r="N702" s="126" t="s">
        <v>422</v>
      </c>
    </row>
    <row r="703" spans="1:14" ht="13.5" thickBot="1"/>
    <row r="704" spans="1:14" s="127" customFormat="1" ht="16.5" customHeight="1" thickBot="1">
      <c r="A704" s="131" t="s">
        <v>382</v>
      </c>
      <c r="B704" s="132" t="s">
        <v>291</v>
      </c>
      <c r="C704" s="132" t="s">
        <v>383</v>
      </c>
      <c r="D704" s="132" t="s">
        <v>384</v>
      </c>
      <c r="E704" s="132" t="s">
        <v>385</v>
      </c>
      <c r="F704" s="133" t="s">
        <v>386</v>
      </c>
      <c r="H704" s="131" t="s">
        <v>382</v>
      </c>
      <c r="I704" s="132" t="s">
        <v>291</v>
      </c>
      <c r="J704" s="132" t="s">
        <v>383</v>
      </c>
      <c r="K704" s="132"/>
      <c r="L704" s="207" t="s">
        <v>385</v>
      </c>
      <c r="M704" s="133" t="s">
        <v>386</v>
      </c>
    </row>
    <row r="705" spans="1:13">
      <c r="A705" s="82"/>
      <c r="B705" s="82"/>
      <c r="C705" s="82"/>
      <c r="D705" s="82"/>
      <c r="E705" s="82"/>
      <c r="F705" s="82"/>
      <c r="H705" s="82"/>
      <c r="I705" s="82"/>
      <c r="J705" s="82"/>
      <c r="K705" s="82"/>
      <c r="L705" s="82"/>
      <c r="M705" s="82"/>
    </row>
    <row r="706" spans="1:13" ht="15">
      <c r="A706" s="123" t="s">
        <v>423</v>
      </c>
      <c r="B706" s="78">
        <v>13</v>
      </c>
      <c r="C706" s="78">
        <v>0.3</v>
      </c>
      <c r="D706" s="78">
        <v>0.2</v>
      </c>
      <c r="E706" s="78">
        <f>E702</f>
        <v>3</v>
      </c>
      <c r="F706" s="79">
        <f>E706*D706*C706*B706</f>
        <v>2.3400000000000003</v>
      </c>
      <c r="H706" s="123" t="s">
        <v>423</v>
      </c>
      <c r="I706" s="78">
        <f>B706</f>
        <v>13</v>
      </c>
      <c r="J706" s="78">
        <f>2*(C706+D706)</f>
        <v>1</v>
      </c>
      <c r="K706" s="78"/>
      <c r="L706" s="78">
        <f>M702</f>
        <v>3</v>
      </c>
      <c r="M706" s="79">
        <f>L706*J706*I706</f>
        <v>39</v>
      </c>
    </row>
    <row r="707" spans="1:13" ht="15">
      <c r="A707" s="123" t="s">
        <v>424</v>
      </c>
      <c r="B707" s="78">
        <v>0</v>
      </c>
      <c r="C707" s="78">
        <v>0.25</v>
      </c>
      <c r="D707" s="78">
        <v>0.2</v>
      </c>
      <c r="E707" s="78">
        <f>E702</f>
        <v>3</v>
      </c>
      <c r="F707" s="79">
        <f>E707*D707*C707*B707</f>
        <v>0</v>
      </c>
      <c r="H707" s="123" t="s">
        <v>424</v>
      </c>
      <c r="I707" s="78">
        <f>B707</f>
        <v>0</v>
      </c>
      <c r="J707" s="78">
        <f t="shared" ref="J707:J708" si="104">2*(C707+D707)</f>
        <v>0.9</v>
      </c>
      <c r="K707" s="78"/>
      <c r="L707" s="78">
        <f>M702</f>
        <v>3</v>
      </c>
      <c r="M707" s="79">
        <f>L707*J707*I707</f>
        <v>0</v>
      </c>
    </row>
    <row r="708" spans="1:13" ht="15">
      <c r="A708" s="123" t="s">
        <v>425</v>
      </c>
      <c r="B708" s="78">
        <v>0</v>
      </c>
      <c r="C708" s="78">
        <v>0.2</v>
      </c>
      <c r="D708" s="78">
        <v>0.2</v>
      </c>
      <c r="E708" s="78">
        <f>E702</f>
        <v>3</v>
      </c>
      <c r="F708" s="79">
        <f>E708*D708*C708*B708</f>
        <v>0</v>
      </c>
      <c r="H708" s="123" t="s">
        <v>425</v>
      </c>
      <c r="I708" s="78">
        <f>B708</f>
        <v>0</v>
      </c>
      <c r="J708" s="78">
        <f t="shared" si="104"/>
        <v>0.8</v>
      </c>
      <c r="K708" s="78"/>
      <c r="L708" s="78">
        <f>M702</f>
        <v>3</v>
      </c>
      <c r="M708" s="79">
        <f>L708*J708*I708</f>
        <v>0</v>
      </c>
    </row>
    <row r="709" spans="1:13" ht="15.75" thickBot="1">
      <c r="A709" s="124"/>
      <c r="B709" s="80"/>
      <c r="C709" s="80"/>
      <c r="D709" s="80"/>
      <c r="E709" s="80"/>
      <c r="F709" s="81"/>
      <c r="H709" s="124"/>
      <c r="I709" s="80"/>
      <c r="J709" s="80"/>
      <c r="K709" s="80"/>
      <c r="L709" s="80"/>
      <c r="M709" s="81"/>
    </row>
    <row r="710" spans="1:13" ht="13.5" thickBot="1">
      <c r="A710" s="921" t="s">
        <v>393</v>
      </c>
      <c r="B710" s="922"/>
      <c r="C710" s="922"/>
      <c r="D710" s="922"/>
      <c r="E710" s="923"/>
      <c r="F710" s="111">
        <f>SUM(F705:F709)</f>
        <v>2.3400000000000003</v>
      </c>
      <c r="H710" s="921" t="s">
        <v>393</v>
      </c>
      <c r="I710" s="922"/>
      <c r="J710" s="922"/>
      <c r="K710" s="922"/>
      <c r="L710" s="923"/>
      <c r="M710" s="111">
        <f>SUM(M708:M709)</f>
        <v>0</v>
      </c>
    </row>
    <row r="711" spans="1:13">
      <c r="A711" s="134"/>
      <c r="B711" s="135"/>
      <c r="C711" s="135"/>
      <c r="D711" s="135"/>
      <c r="E711" s="135"/>
      <c r="F711" s="101"/>
      <c r="H711" s="134"/>
      <c r="I711" s="135"/>
      <c r="J711" s="135"/>
      <c r="K711" s="135"/>
      <c r="L711" s="135"/>
      <c r="M711" s="101"/>
    </row>
    <row r="712" spans="1:13" ht="13.5" thickBot="1">
      <c r="A712" s="134"/>
      <c r="B712" s="135"/>
      <c r="C712" s="135"/>
      <c r="D712" s="135"/>
      <c r="E712" s="135"/>
      <c r="F712" s="101"/>
      <c r="H712" s="134"/>
      <c r="I712" s="135"/>
      <c r="J712" s="135"/>
      <c r="K712" s="135"/>
      <c r="L712" s="135"/>
      <c r="M712" s="101"/>
    </row>
    <row r="713" spans="1:13" ht="15.75" thickBot="1">
      <c r="A713" s="125" t="s">
        <v>479</v>
      </c>
      <c r="B713" s="92">
        <f>E717</f>
        <v>3.9763200000000003</v>
      </c>
      <c r="C713" s="95" t="s">
        <v>66</v>
      </c>
      <c r="H713" s="94" t="s">
        <v>479</v>
      </c>
      <c r="I713" s="115">
        <f>SUM(L717:L717)</f>
        <v>19.881600000000002</v>
      </c>
      <c r="J713" s="116" t="s">
        <v>84</v>
      </c>
      <c r="K713" s="211"/>
    </row>
    <row r="714" spans="1:13" ht="13.5" thickBot="1"/>
    <row r="715" spans="1:13" ht="13.5" thickBot="1">
      <c r="A715" s="107" t="s">
        <v>382</v>
      </c>
      <c r="B715" s="109" t="s">
        <v>383</v>
      </c>
      <c r="C715" s="109" t="s">
        <v>384</v>
      </c>
      <c r="D715" s="109" t="s">
        <v>385</v>
      </c>
      <c r="E715" s="110" t="s">
        <v>386</v>
      </c>
      <c r="H715" s="107" t="s">
        <v>382</v>
      </c>
      <c r="I715" s="109" t="s">
        <v>383</v>
      </c>
      <c r="J715" s="109" t="s">
        <v>384</v>
      </c>
      <c r="K715" s="212"/>
      <c r="L715" s="110" t="s">
        <v>387</v>
      </c>
    </row>
    <row r="716" spans="1:13">
      <c r="A716" s="82"/>
      <c r="B716" s="82"/>
      <c r="C716" s="82"/>
      <c r="D716" s="82"/>
      <c r="E716" s="82"/>
      <c r="H716" s="82"/>
      <c r="I716" s="82"/>
      <c r="J716" s="82"/>
      <c r="K716" s="82"/>
      <c r="L716" s="82"/>
    </row>
    <row r="717" spans="1:13" ht="15">
      <c r="A717" s="136" t="s">
        <v>480</v>
      </c>
      <c r="B717" s="78">
        <f>U722</f>
        <v>66.272000000000006</v>
      </c>
      <c r="C717" s="78">
        <v>0.2</v>
      </c>
      <c r="D717" s="78">
        <v>0.3</v>
      </c>
      <c r="E717" s="79">
        <f>D717*C717*B717</f>
        <v>3.9763200000000003</v>
      </c>
      <c r="H717" s="123" t="str">
        <f>A717</f>
        <v>B1-B6</v>
      </c>
      <c r="I717" s="78">
        <f>B717</f>
        <v>66.272000000000006</v>
      </c>
      <c r="J717" s="78">
        <v>0.3</v>
      </c>
      <c r="K717" s="78"/>
      <c r="L717" s="79">
        <f>J717*I717</f>
        <v>19.881600000000002</v>
      </c>
    </row>
    <row r="718" spans="1:13" ht="15.75" thickBot="1">
      <c r="A718" s="137"/>
      <c r="B718" s="80"/>
      <c r="C718" s="80"/>
      <c r="D718" s="80"/>
      <c r="E718" s="81"/>
      <c r="H718" s="124"/>
      <c r="I718" s="80"/>
      <c r="J718" s="80"/>
      <c r="K718" s="80"/>
      <c r="L718" s="81"/>
    </row>
    <row r="719" spans="1:13" ht="13.5" thickBot="1">
      <c r="A719" s="921" t="s">
        <v>393</v>
      </c>
      <c r="B719" s="922"/>
      <c r="C719" s="922"/>
      <c r="D719" s="923"/>
      <c r="E719" s="111">
        <f>SUM(E716:E718)</f>
        <v>3.9763200000000003</v>
      </c>
      <c r="H719" s="921" t="s">
        <v>393</v>
      </c>
      <c r="I719" s="922"/>
      <c r="J719" s="923"/>
      <c r="K719" s="205"/>
      <c r="L719" s="111">
        <f>SUM(L716:L718)</f>
        <v>19.881600000000002</v>
      </c>
    </row>
    <row r="720" spans="1:13" ht="15.75" thickBot="1">
      <c r="A720" s="102"/>
      <c r="F720" s="102"/>
      <c r="G720" s="99"/>
    </row>
    <row r="721" spans="1:22" ht="13.5" thickBot="1">
      <c r="A721" s="119" t="s">
        <v>481</v>
      </c>
    </row>
    <row r="722" spans="1:22" ht="15">
      <c r="A722" s="103" t="s">
        <v>482</v>
      </c>
      <c r="B722" s="113">
        <v>15.391999999999999</v>
      </c>
      <c r="C722" s="113">
        <v>15.391999999999999</v>
      </c>
      <c r="D722" s="113">
        <v>15.391999999999999</v>
      </c>
      <c r="E722" s="113">
        <v>16.45</v>
      </c>
      <c r="F722" s="113">
        <v>3.6459999999999999</v>
      </c>
      <c r="G722" s="113">
        <v>0</v>
      </c>
      <c r="H722" s="100">
        <v>0</v>
      </c>
      <c r="I722" s="100">
        <v>0</v>
      </c>
      <c r="J722" s="100">
        <v>0</v>
      </c>
      <c r="K722" s="100"/>
      <c r="L722" s="100">
        <v>0</v>
      </c>
      <c r="M722" s="100">
        <v>0</v>
      </c>
      <c r="N722" s="761">
        <v>0</v>
      </c>
      <c r="O722" s="100">
        <v>0</v>
      </c>
      <c r="P722" s="100">
        <v>0</v>
      </c>
      <c r="Q722" s="100">
        <v>0</v>
      </c>
      <c r="R722" s="100">
        <v>0</v>
      </c>
      <c r="S722" s="100">
        <v>0</v>
      </c>
      <c r="T722" s="100">
        <v>0</v>
      </c>
      <c r="U722" s="114">
        <f>SUM(B722:T722)</f>
        <v>66.272000000000006</v>
      </c>
      <c r="V722" s="104"/>
    </row>
    <row r="723" spans="1:22" ht="13.5" thickBot="1"/>
    <row r="724" spans="1:22" ht="15.75" thickBot="1">
      <c r="A724" s="125" t="s">
        <v>441</v>
      </c>
      <c r="B724" s="92">
        <f>D731-D735</f>
        <v>12.270570000000001</v>
      </c>
      <c r="C724" s="95" t="s">
        <v>66</v>
      </c>
      <c r="H724" s="94" t="s">
        <v>441</v>
      </c>
      <c r="I724" s="92">
        <f>L731-L735</f>
        <v>101.58905000000001</v>
      </c>
      <c r="J724" s="95" t="s">
        <v>84</v>
      </c>
      <c r="K724" s="211"/>
    </row>
    <row r="725" spans="1:22" ht="13.5" thickBot="1"/>
    <row r="726" spans="1:22" ht="13.5" thickBot="1">
      <c r="A726" s="107" t="s">
        <v>382</v>
      </c>
      <c r="B726" s="109" t="s">
        <v>409</v>
      </c>
      <c r="C726" s="109" t="s">
        <v>385</v>
      </c>
      <c r="D726" s="109" t="s">
        <v>386</v>
      </c>
      <c r="H726" s="107" t="s">
        <v>382</v>
      </c>
      <c r="I726" s="109" t="s">
        <v>383</v>
      </c>
      <c r="J726" s="109" t="s">
        <v>384</v>
      </c>
      <c r="K726" s="212"/>
      <c r="L726" s="110" t="s">
        <v>443</v>
      </c>
    </row>
    <row r="727" spans="1:22">
      <c r="A727" s="213"/>
      <c r="B727" s="82"/>
      <c r="C727" s="82"/>
      <c r="D727" s="82"/>
      <c r="H727" s="213"/>
      <c r="I727" s="213"/>
      <c r="J727" s="82"/>
      <c r="K727" s="214"/>
      <c r="L727" s="215"/>
    </row>
    <row r="728" spans="1:22" ht="15">
      <c r="A728" s="216" t="s">
        <v>483</v>
      </c>
      <c r="B728" s="72">
        <f>U739</f>
        <v>98.799000000000007</v>
      </c>
      <c r="C728" s="78">
        <v>0.13</v>
      </c>
      <c r="D728" s="79">
        <f>C728*B728</f>
        <v>12.843870000000001</v>
      </c>
      <c r="H728" s="216" t="s">
        <v>483</v>
      </c>
      <c r="I728" s="74">
        <f>B728</f>
        <v>98.799000000000007</v>
      </c>
      <c r="J728" s="78">
        <v>0</v>
      </c>
      <c r="K728" s="96"/>
      <c r="L728" s="217">
        <f>I728</f>
        <v>98.799000000000007</v>
      </c>
    </row>
    <row r="729" spans="1:22" ht="15">
      <c r="A729" s="216" t="s">
        <v>484</v>
      </c>
      <c r="B729" s="78">
        <f>U740</f>
        <v>0</v>
      </c>
      <c r="C729" s="78">
        <v>0</v>
      </c>
      <c r="D729" s="79">
        <f>C729*B729</f>
        <v>0</v>
      </c>
      <c r="H729" s="216" t="s">
        <v>485</v>
      </c>
      <c r="I729" s="74">
        <v>46.884999999999998</v>
      </c>
      <c r="J729" s="78">
        <f>C728</f>
        <v>0.13</v>
      </c>
      <c r="L729" s="217">
        <f>J729*I729</f>
        <v>6.0950499999999996</v>
      </c>
    </row>
    <row r="730" spans="1:22" ht="15.75" thickBot="1">
      <c r="A730" s="216" t="s">
        <v>486</v>
      </c>
      <c r="B730" s="78">
        <f>U741</f>
        <v>0</v>
      </c>
      <c r="C730" s="78">
        <v>0</v>
      </c>
      <c r="D730" s="79">
        <f>C730*B730</f>
        <v>0</v>
      </c>
      <c r="H730" s="216" t="s">
        <v>487</v>
      </c>
      <c r="I730" s="74">
        <v>8.5</v>
      </c>
      <c r="J730" s="78">
        <f>C728</f>
        <v>0.13</v>
      </c>
      <c r="L730" s="217">
        <f>J730*I730</f>
        <v>1.105</v>
      </c>
    </row>
    <row r="731" spans="1:22" ht="15.75" thickBot="1">
      <c r="A731" s="216"/>
      <c r="B731" s="78"/>
      <c r="C731" s="78"/>
      <c r="D731" s="224">
        <f>SUM(D728:D730)</f>
        <v>12.843870000000001</v>
      </c>
      <c r="H731" s="216"/>
      <c r="I731" s="74"/>
      <c r="J731" s="78"/>
      <c r="L731" s="224">
        <f>SUM(L728:L730)</f>
        <v>105.99905000000001</v>
      </c>
    </row>
    <row r="732" spans="1:22" ht="15">
      <c r="A732" s="218" t="s">
        <v>447</v>
      </c>
      <c r="B732" s="78"/>
      <c r="C732" s="78"/>
      <c r="D732" s="217"/>
      <c r="H732" s="218" t="s">
        <v>447</v>
      </c>
      <c r="I732" s="74"/>
      <c r="J732" s="78"/>
      <c r="L732" s="217"/>
    </row>
    <row r="733" spans="1:22" ht="15">
      <c r="A733" s="216" t="s">
        <v>449</v>
      </c>
      <c r="B733" s="78">
        <f>U743</f>
        <v>0</v>
      </c>
      <c r="C733" s="78">
        <v>0</v>
      </c>
      <c r="D733" s="79">
        <f>C733*B733</f>
        <v>0</v>
      </c>
      <c r="H733" s="216" t="s">
        <v>449</v>
      </c>
      <c r="I733" s="74">
        <f>B733</f>
        <v>0</v>
      </c>
      <c r="J733" s="78"/>
      <c r="L733" s="217">
        <f>I733</f>
        <v>0</v>
      </c>
    </row>
    <row r="734" spans="1:22" ht="15.75" thickBot="1">
      <c r="A734" s="216" t="s">
        <v>451</v>
      </c>
      <c r="B734" s="78">
        <f>U744</f>
        <v>4.41</v>
      </c>
      <c r="C734" s="78">
        <v>0.13</v>
      </c>
      <c r="D734" s="217">
        <f>C734*B734</f>
        <v>0.57330000000000003</v>
      </c>
      <c r="H734" s="216" t="s">
        <v>451</v>
      </c>
      <c r="I734" s="74">
        <f>B734</f>
        <v>4.41</v>
      </c>
      <c r="J734" s="78">
        <v>0</v>
      </c>
      <c r="L734" s="217">
        <f>I734</f>
        <v>4.41</v>
      </c>
    </row>
    <row r="735" spans="1:22" ht="15.75" thickBot="1">
      <c r="A735" s="216"/>
      <c r="B735" s="78"/>
      <c r="C735" s="78"/>
      <c r="D735" s="224">
        <f>SUM(D733:D734)</f>
        <v>0.57330000000000003</v>
      </c>
      <c r="H735" s="216"/>
      <c r="I735" s="74"/>
      <c r="J735" s="78"/>
      <c r="L735" s="224">
        <f>SUM(L733:L734)</f>
        <v>4.41</v>
      </c>
    </row>
    <row r="736" spans="1:22" ht="13.5" thickBot="1">
      <c r="A736" s="219"/>
      <c r="B736" s="80"/>
      <c r="C736" s="80"/>
      <c r="D736" s="221"/>
      <c r="H736" s="219"/>
      <c r="I736" s="219"/>
      <c r="J736" s="80"/>
      <c r="K736" s="220"/>
      <c r="L736" s="221"/>
    </row>
    <row r="737" spans="1:22" ht="13.5" thickBot="1"/>
    <row r="738" spans="1:22" ht="13.5" thickBot="1">
      <c r="A738" s="119" t="s">
        <v>454</v>
      </c>
    </row>
    <row r="739" spans="1:22" ht="15.75" thickBot="1">
      <c r="A739" s="103" t="str">
        <f>A728</f>
        <v>Total Slab</v>
      </c>
      <c r="B739" s="100">
        <v>98.799000000000007</v>
      </c>
      <c r="C739" s="100">
        <v>0</v>
      </c>
      <c r="D739" s="100">
        <v>0</v>
      </c>
      <c r="E739" s="100">
        <v>0</v>
      </c>
      <c r="F739" s="100">
        <v>0</v>
      </c>
      <c r="G739" s="100">
        <v>0</v>
      </c>
      <c r="H739" s="100">
        <v>0</v>
      </c>
      <c r="I739" s="100">
        <v>0</v>
      </c>
      <c r="J739" s="100">
        <v>0</v>
      </c>
      <c r="K739" s="100"/>
      <c r="L739" s="100">
        <v>0</v>
      </c>
      <c r="M739" s="100">
        <v>0</v>
      </c>
      <c r="N739" s="761">
        <v>0</v>
      </c>
      <c r="O739" s="100">
        <v>0</v>
      </c>
      <c r="P739" s="100">
        <v>0</v>
      </c>
      <c r="Q739" s="100">
        <v>0</v>
      </c>
      <c r="R739" s="100">
        <v>0</v>
      </c>
      <c r="S739" s="100">
        <v>0</v>
      </c>
      <c r="T739" s="100">
        <v>0</v>
      </c>
      <c r="U739" s="114">
        <f>SUM(B739:T739)</f>
        <v>98.799000000000007</v>
      </c>
      <c r="V739" s="104"/>
    </row>
    <row r="740" spans="1:22" ht="15.75" thickBot="1">
      <c r="A740" s="103" t="str">
        <f>A729</f>
        <v>Shaded Slab</v>
      </c>
      <c r="B740" s="100">
        <v>0</v>
      </c>
      <c r="C740" s="100">
        <v>0</v>
      </c>
      <c r="D740" s="100">
        <v>0</v>
      </c>
      <c r="E740" s="100">
        <v>0</v>
      </c>
      <c r="F740" s="100">
        <v>0</v>
      </c>
      <c r="G740" s="100">
        <v>0</v>
      </c>
      <c r="H740" s="100">
        <v>0</v>
      </c>
      <c r="I740" s="100">
        <v>0</v>
      </c>
      <c r="J740" s="100">
        <v>0</v>
      </c>
      <c r="K740" s="100"/>
      <c r="L740" s="100">
        <v>0</v>
      </c>
      <c r="M740" s="100">
        <v>0</v>
      </c>
      <c r="N740" s="761">
        <v>0</v>
      </c>
      <c r="O740" s="100">
        <v>0</v>
      </c>
      <c r="P740" s="100">
        <v>0</v>
      </c>
      <c r="Q740" s="100">
        <v>0</v>
      </c>
      <c r="R740" s="100">
        <v>0</v>
      </c>
      <c r="S740" s="100">
        <v>0</v>
      </c>
      <c r="T740" s="100">
        <v>0</v>
      </c>
      <c r="U740" s="114">
        <f>SUM(B740:T740)</f>
        <v>0</v>
      </c>
      <c r="V740" s="104"/>
    </row>
    <row r="741" spans="1:22" ht="15">
      <c r="A741" s="103" t="str">
        <f>A730</f>
        <v>Cantilever</v>
      </c>
      <c r="B741" s="100">
        <v>0</v>
      </c>
      <c r="C741" s="100">
        <v>0</v>
      </c>
      <c r="D741" s="100">
        <v>0</v>
      </c>
      <c r="E741" s="100">
        <v>0</v>
      </c>
      <c r="F741" s="100">
        <v>0</v>
      </c>
      <c r="G741" s="100">
        <v>0</v>
      </c>
      <c r="H741" s="100">
        <v>0</v>
      </c>
      <c r="I741" s="100">
        <v>0</v>
      </c>
      <c r="J741" s="100">
        <v>0</v>
      </c>
      <c r="K741" s="100"/>
      <c r="L741" s="100">
        <v>0</v>
      </c>
      <c r="M741" s="100">
        <v>0</v>
      </c>
      <c r="N741" s="761">
        <v>0</v>
      </c>
      <c r="O741" s="100">
        <v>0</v>
      </c>
      <c r="P741" s="100">
        <v>0</v>
      </c>
      <c r="Q741" s="100">
        <v>0</v>
      </c>
      <c r="R741" s="100">
        <v>0</v>
      </c>
      <c r="S741" s="100">
        <v>0</v>
      </c>
      <c r="T741" s="100">
        <v>0</v>
      </c>
      <c r="U741" s="114">
        <f>SUM(B741:T741)</f>
        <v>0</v>
      </c>
      <c r="V741" s="104"/>
    </row>
    <row r="742" spans="1:22" ht="15.75" thickBot="1">
      <c r="A742" s="222" t="str">
        <f>A732</f>
        <v>Deduction</v>
      </c>
    </row>
    <row r="743" spans="1:22" ht="15.75" thickBot="1">
      <c r="A743" s="103" t="str">
        <f>A733</f>
        <v>Lift Void</v>
      </c>
      <c r="B743" s="100">
        <v>0</v>
      </c>
      <c r="C743" s="100">
        <v>0</v>
      </c>
      <c r="D743" s="100">
        <v>0</v>
      </c>
      <c r="E743" s="100">
        <v>0</v>
      </c>
      <c r="F743" s="100">
        <v>0</v>
      </c>
      <c r="G743" s="100">
        <v>0</v>
      </c>
      <c r="H743" s="100">
        <v>0</v>
      </c>
      <c r="I743" s="100">
        <v>0</v>
      </c>
      <c r="J743" s="100">
        <v>0</v>
      </c>
      <c r="K743" s="100"/>
      <c r="L743" s="100">
        <v>0</v>
      </c>
      <c r="M743" s="100">
        <v>0</v>
      </c>
      <c r="N743" s="761">
        <v>0</v>
      </c>
      <c r="O743" s="100">
        <v>0</v>
      </c>
      <c r="P743" s="100">
        <v>0</v>
      </c>
      <c r="Q743" s="100">
        <v>0</v>
      </c>
      <c r="R743" s="100">
        <v>0</v>
      </c>
      <c r="S743" s="100">
        <v>0</v>
      </c>
      <c r="T743" s="100">
        <v>0</v>
      </c>
      <c r="U743" s="114">
        <f>SUM(B743:T743)</f>
        <v>0</v>
      </c>
      <c r="V743" s="104"/>
    </row>
    <row r="744" spans="1:22" ht="15">
      <c r="A744" s="103" t="str">
        <f>A734</f>
        <v>Stair Well</v>
      </c>
      <c r="B744" s="100">
        <v>4.41</v>
      </c>
      <c r="C744" s="100">
        <v>0</v>
      </c>
      <c r="D744" s="100">
        <v>0</v>
      </c>
      <c r="E744" s="100">
        <v>0</v>
      </c>
      <c r="F744" s="100">
        <v>0</v>
      </c>
      <c r="G744" s="100">
        <v>0</v>
      </c>
      <c r="H744" s="100">
        <v>0</v>
      </c>
      <c r="I744" s="100">
        <v>0</v>
      </c>
      <c r="J744" s="100">
        <v>0</v>
      </c>
      <c r="K744" s="100"/>
      <c r="L744" s="100">
        <v>0</v>
      </c>
      <c r="M744" s="100">
        <v>0</v>
      </c>
      <c r="N744" s="761">
        <v>0</v>
      </c>
      <c r="O744" s="100">
        <v>0</v>
      </c>
      <c r="P744" s="100">
        <v>0</v>
      </c>
      <c r="Q744" s="100">
        <v>0</v>
      </c>
      <c r="R744" s="100">
        <v>0</v>
      </c>
      <c r="S744" s="100">
        <v>0</v>
      </c>
      <c r="T744" s="100">
        <v>0</v>
      </c>
      <c r="U744" s="114">
        <f>SUM(B744:T744)</f>
        <v>4.41</v>
      </c>
      <c r="V744" s="104"/>
    </row>
    <row r="746" spans="1:22" ht="13.5" thickBot="1"/>
    <row r="747" spans="1:22" ht="15.75" thickBot="1">
      <c r="A747" s="125" t="s">
        <v>489</v>
      </c>
      <c r="B747" s="92">
        <f>D751</f>
        <v>0</v>
      </c>
      <c r="C747" s="95" t="s">
        <v>66</v>
      </c>
      <c r="H747" s="94" t="str">
        <f>A747</f>
        <v>RC WALL</v>
      </c>
      <c r="I747" s="92">
        <f>SUM(L751:L751)</f>
        <v>0</v>
      </c>
      <c r="J747" s="95" t="s">
        <v>84</v>
      </c>
      <c r="K747" s="99"/>
    </row>
    <row r="748" spans="1:22" ht="13.5" thickBot="1"/>
    <row r="749" spans="1:22" ht="13.5" thickBot="1">
      <c r="A749" s="107" t="s">
        <v>382</v>
      </c>
      <c r="B749" s="109" t="s">
        <v>383</v>
      </c>
      <c r="C749" s="109" t="s">
        <v>384</v>
      </c>
      <c r="D749" s="109" t="s">
        <v>385</v>
      </c>
      <c r="E749" s="107" t="s">
        <v>386</v>
      </c>
      <c r="H749" s="107" t="s">
        <v>382</v>
      </c>
      <c r="I749" s="109" t="s">
        <v>383</v>
      </c>
      <c r="J749" s="109" t="s">
        <v>384</v>
      </c>
      <c r="K749" s="212"/>
      <c r="L749" s="110" t="s">
        <v>475</v>
      </c>
    </row>
    <row r="750" spans="1:22">
      <c r="A750" s="82"/>
      <c r="B750" s="82"/>
      <c r="C750" s="82"/>
      <c r="D750" s="82"/>
      <c r="E750" s="82"/>
      <c r="H750" s="82"/>
      <c r="I750" s="82"/>
      <c r="J750" s="82"/>
      <c r="K750" s="82"/>
      <c r="L750" s="82"/>
    </row>
    <row r="751" spans="1:22" ht="15">
      <c r="A751" s="123" t="str">
        <f>A755</f>
        <v>100mm tk</v>
      </c>
      <c r="B751" s="78">
        <f>N755</f>
        <v>0</v>
      </c>
      <c r="C751" s="78">
        <v>0</v>
      </c>
      <c r="D751" s="78">
        <v>0</v>
      </c>
      <c r="E751" s="79">
        <f>D751*C751*B751</f>
        <v>0</v>
      </c>
      <c r="H751" s="123" t="str">
        <f>A751</f>
        <v>100mm tk</v>
      </c>
      <c r="I751" s="78">
        <f>B751</f>
        <v>0</v>
      </c>
      <c r="J751" s="78">
        <f>C751+D751+D751</f>
        <v>0</v>
      </c>
      <c r="K751" s="78"/>
      <c r="L751" s="79">
        <f>J751*I751</f>
        <v>0</v>
      </c>
    </row>
    <row r="752" spans="1:22" ht="13.5" thickBot="1">
      <c r="A752" s="80"/>
      <c r="B752" s="80"/>
      <c r="C752" s="80"/>
      <c r="D752" s="80"/>
      <c r="E752" s="80"/>
      <c r="H752" s="80"/>
      <c r="I752" s="80"/>
      <c r="J752" s="80"/>
      <c r="K752" s="80"/>
      <c r="L752" s="80"/>
    </row>
    <row r="753" spans="1:14" ht="13.5" thickBot="1"/>
    <row r="754" spans="1:14" ht="15.75" thickBot="1">
      <c r="A754" s="125" t="s">
        <v>490</v>
      </c>
    </row>
    <row r="755" spans="1:14">
      <c r="A755" s="596" t="s">
        <v>491</v>
      </c>
      <c r="B755" s="100">
        <v>0</v>
      </c>
      <c r="C755" s="100">
        <v>0</v>
      </c>
      <c r="D755" s="100">
        <v>0</v>
      </c>
      <c r="E755" s="100">
        <v>0</v>
      </c>
      <c r="F755" s="100">
        <v>0</v>
      </c>
      <c r="G755" s="100">
        <v>0</v>
      </c>
      <c r="H755" s="100">
        <v>0</v>
      </c>
      <c r="I755" s="100">
        <v>0</v>
      </c>
      <c r="J755" s="100">
        <v>0</v>
      </c>
      <c r="K755" s="100"/>
      <c r="L755" s="100">
        <v>0</v>
      </c>
      <c r="M755" s="100">
        <v>0</v>
      </c>
      <c r="N755" s="114">
        <f>SUM(B755:M755)</f>
        <v>0</v>
      </c>
    </row>
    <row r="756" spans="1:14" ht="13.5" thickBot="1"/>
    <row r="757" spans="1:14" s="228" customFormat="1" ht="15.75" customHeight="1" thickBot="1">
      <c r="A757" s="948" t="s">
        <v>493</v>
      </c>
      <c r="B757" s="949"/>
      <c r="C757" s="949"/>
      <c r="D757" s="949"/>
      <c r="E757" s="227"/>
      <c r="F757" s="227"/>
    </row>
    <row r="758" spans="1:14" s="228" customFormat="1" ht="13.5" thickBot="1">
      <c r="E758" s="229"/>
    </row>
    <row r="759" spans="1:14" s="228" customFormat="1" ht="15.75" customHeight="1" thickBot="1">
      <c r="A759" s="948" t="s">
        <v>494</v>
      </c>
      <c r="B759" s="949"/>
      <c r="C759" s="949"/>
      <c r="D759" s="949"/>
      <c r="E759" s="227"/>
      <c r="F759" s="227"/>
    </row>
    <row r="760" spans="1:14" s="228" customFormat="1" ht="13.5" thickBot="1">
      <c r="A760" s="230" t="s">
        <v>382</v>
      </c>
      <c r="B760" s="231" t="s">
        <v>291</v>
      </c>
      <c r="C760" s="232" t="s">
        <v>383</v>
      </c>
      <c r="D760" s="233" t="s">
        <v>495</v>
      </c>
      <c r="E760" s="234"/>
    </row>
    <row r="761" spans="1:14" s="228" customFormat="1">
      <c r="A761" s="235"/>
      <c r="B761" s="235"/>
      <c r="C761" s="235"/>
      <c r="D761" s="235"/>
      <c r="E761" s="236"/>
    </row>
    <row r="762" spans="1:14" s="228" customFormat="1">
      <c r="A762" s="72" t="s">
        <v>496</v>
      </c>
      <c r="B762" s="237">
        <v>1</v>
      </c>
      <c r="C762" s="237">
        <f t="shared" ref="C762:C769" si="105">F773</f>
        <v>12.565</v>
      </c>
      <c r="D762" s="238">
        <f>C762*B762</f>
        <v>12.565</v>
      </c>
      <c r="E762" s="236"/>
    </row>
    <row r="763" spans="1:14" s="228" customFormat="1">
      <c r="A763" s="72" t="s">
        <v>497</v>
      </c>
      <c r="B763" s="237">
        <v>1</v>
      </c>
      <c r="C763" s="237">
        <f t="shared" si="105"/>
        <v>20.924999999999997</v>
      </c>
      <c r="D763" s="238">
        <f t="shared" ref="D763:D769" si="106">C763*B763</f>
        <v>20.924999999999997</v>
      </c>
      <c r="E763" s="236"/>
    </row>
    <row r="764" spans="1:14" s="228" customFormat="1">
      <c r="A764" s="72" t="s">
        <v>498</v>
      </c>
      <c r="B764" s="237">
        <v>1</v>
      </c>
      <c r="C764" s="237">
        <f t="shared" si="105"/>
        <v>107.02000000000001</v>
      </c>
      <c r="D764" s="238">
        <f t="shared" si="106"/>
        <v>107.02000000000001</v>
      </c>
      <c r="E764" s="236"/>
    </row>
    <row r="765" spans="1:14" s="228" customFormat="1">
      <c r="A765" s="72" t="s">
        <v>499</v>
      </c>
      <c r="B765" s="237">
        <v>1</v>
      </c>
      <c r="C765" s="237">
        <f t="shared" si="105"/>
        <v>182.57</v>
      </c>
      <c r="D765" s="238">
        <f t="shared" si="106"/>
        <v>182.57</v>
      </c>
      <c r="E765" s="236"/>
    </row>
    <row r="766" spans="1:14" s="228" customFormat="1">
      <c r="A766" s="72" t="s">
        <v>500</v>
      </c>
      <c r="B766" s="237">
        <v>1</v>
      </c>
      <c r="C766" s="237">
        <f t="shared" si="105"/>
        <v>20.83</v>
      </c>
      <c r="D766" s="238">
        <f t="shared" si="106"/>
        <v>20.83</v>
      </c>
      <c r="E766" s="236"/>
    </row>
    <row r="767" spans="1:14" s="228" customFormat="1">
      <c r="A767" s="72" t="s">
        <v>501</v>
      </c>
      <c r="B767" s="237">
        <v>1</v>
      </c>
      <c r="C767" s="237">
        <f t="shared" si="105"/>
        <v>20.87</v>
      </c>
      <c r="D767" s="238">
        <f t="shared" si="106"/>
        <v>20.87</v>
      </c>
      <c r="E767" s="236"/>
    </row>
    <row r="768" spans="1:14" s="228" customFormat="1">
      <c r="A768" s="72" t="s">
        <v>502</v>
      </c>
      <c r="B768" s="237">
        <v>1</v>
      </c>
      <c r="C768" s="237">
        <f t="shared" si="105"/>
        <v>16.343999999999998</v>
      </c>
      <c r="D768" s="238">
        <f t="shared" si="106"/>
        <v>16.343999999999998</v>
      </c>
      <c r="E768" s="236"/>
    </row>
    <row r="769" spans="1:26" s="228" customFormat="1">
      <c r="A769" s="72" t="s">
        <v>503</v>
      </c>
      <c r="B769" s="237">
        <v>1</v>
      </c>
      <c r="C769" s="237">
        <f t="shared" si="105"/>
        <v>20.83</v>
      </c>
      <c r="D769" s="238">
        <f t="shared" si="106"/>
        <v>20.83</v>
      </c>
      <c r="E769" s="236"/>
    </row>
    <row r="770" spans="1:26" s="228" customFormat="1" ht="13.5" thickBot="1">
      <c r="A770" s="76"/>
      <c r="B770" s="239"/>
      <c r="C770" s="239"/>
      <c r="D770" s="240"/>
      <c r="E770" s="236"/>
    </row>
    <row r="771" spans="1:26" s="228" customFormat="1">
      <c r="E771" s="229"/>
    </row>
    <row r="772" spans="1:26" s="228" customFormat="1" ht="13.5" thickBot="1">
      <c r="E772" s="229"/>
    </row>
    <row r="773" spans="1:26" s="228" customFormat="1" ht="13.5" thickBot="1">
      <c r="A773" s="263" t="str">
        <f t="shared" ref="A773:A780" si="107">A762</f>
        <v>75mm x 75mm Ridge cap</v>
      </c>
      <c r="B773" s="266">
        <v>12.565</v>
      </c>
      <c r="C773" s="267">
        <v>0</v>
      </c>
      <c r="D773" s="267">
        <v>0</v>
      </c>
      <c r="E773" s="268">
        <v>0</v>
      </c>
      <c r="F773" s="264">
        <f t="shared" ref="F773:F780" si="108">SUM(B773:E773)</f>
        <v>12.565</v>
      </c>
      <c r="J773" s="242"/>
      <c r="M773" s="243"/>
      <c r="W773" s="243"/>
      <c r="Z773" s="243"/>
    </row>
    <row r="774" spans="1:26" s="228" customFormat="1" ht="13.5" thickBot="1">
      <c r="A774" s="263" t="str">
        <f t="shared" si="107"/>
        <v>75mm x 75mm Wall plate</v>
      </c>
      <c r="B774" s="269">
        <v>12.664999999999999</v>
      </c>
      <c r="C774" s="762">
        <v>8.26</v>
      </c>
      <c r="D774" s="762">
        <v>0</v>
      </c>
      <c r="E774" s="270">
        <v>0</v>
      </c>
      <c r="F774" s="264">
        <f t="shared" si="108"/>
        <v>20.924999999999997</v>
      </c>
      <c r="J774" s="242"/>
      <c r="M774" s="243"/>
      <c r="W774" s="243"/>
      <c r="Z774" s="243"/>
    </row>
    <row r="775" spans="1:26" s="228" customFormat="1" ht="13.5" thickBot="1">
      <c r="A775" s="263" t="str">
        <f t="shared" si="107"/>
        <v>50x150mm Timber Rafter</v>
      </c>
      <c r="B775" s="269">
        <f>14*4.49</f>
        <v>62.86</v>
      </c>
      <c r="C775" s="762">
        <f>10*4.416</f>
        <v>44.160000000000004</v>
      </c>
      <c r="D775" s="762">
        <v>0</v>
      </c>
      <c r="E775" s="270">
        <v>0</v>
      </c>
      <c r="F775" s="264">
        <f t="shared" si="108"/>
        <v>107.02000000000001</v>
      </c>
      <c r="J775" s="242"/>
      <c r="M775" s="243"/>
      <c r="W775" s="243"/>
      <c r="Z775" s="243"/>
    </row>
    <row r="776" spans="1:26" s="228" customFormat="1" ht="13.5" thickBot="1">
      <c r="A776" s="263" t="str">
        <f t="shared" si="107"/>
        <v>40x40mm Timber Battens</v>
      </c>
      <c r="B776" s="269">
        <f>12.45*9</f>
        <v>112.05</v>
      </c>
      <c r="C776" s="762">
        <f>8.815*8</f>
        <v>70.52</v>
      </c>
      <c r="D776" s="762">
        <v>0</v>
      </c>
      <c r="E776" s="270">
        <v>0</v>
      </c>
      <c r="F776" s="264">
        <f t="shared" si="108"/>
        <v>182.57</v>
      </c>
      <c r="J776" s="242"/>
      <c r="M776" s="243"/>
      <c r="W776" s="243"/>
      <c r="Z776" s="243"/>
    </row>
    <row r="777" spans="1:26" s="228" customFormat="1" ht="13.5" thickBot="1">
      <c r="A777" s="263" t="str">
        <f t="shared" si="107"/>
        <v>25x250mm timber Fascia Board</v>
      </c>
      <c r="B777" s="269">
        <v>12.57</v>
      </c>
      <c r="C777" s="762">
        <v>8.26</v>
      </c>
      <c r="D777" s="762">
        <v>0</v>
      </c>
      <c r="E777" s="270">
        <v>0</v>
      </c>
      <c r="F777" s="264">
        <f t="shared" si="108"/>
        <v>20.83</v>
      </c>
      <c r="J777" s="242"/>
      <c r="M777" s="243"/>
      <c r="W777" s="243"/>
      <c r="Z777" s="243"/>
    </row>
    <row r="778" spans="1:26" s="228" customFormat="1" ht="13.5" thickBot="1">
      <c r="A778" s="263" t="str">
        <f t="shared" si="107"/>
        <v>Ridge flashing</v>
      </c>
      <c r="B778" s="269">
        <v>12.57</v>
      </c>
      <c r="C778" s="762">
        <v>8.3000000000000007</v>
      </c>
      <c r="D778" s="762">
        <v>0</v>
      </c>
      <c r="E778" s="270">
        <v>0</v>
      </c>
      <c r="F778" s="264">
        <f t="shared" si="108"/>
        <v>20.87</v>
      </c>
      <c r="J778" s="242"/>
      <c r="M778" s="243"/>
      <c r="W778" s="243"/>
      <c r="Z778" s="243"/>
    </row>
    <row r="779" spans="1:26" s="228" customFormat="1" ht="13.5" thickBot="1">
      <c r="A779" s="263" t="str">
        <f t="shared" si="107"/>
        <v>Side flashing</v>
      </c>
      <c r="B779" s="269">
        <v>4.1609999999999996</v>
      </c>
      <c r="C779" s="762">
        <v>4.1609999999999996</v>
      </c>
      <c r="D779" s="762">
        <v>4.0110000000000001</v>
      </c>
      <c r="E779" s="270">
        <v>4.0110000000000001</v>
      </c>
      <c r="F779" s="264">
        <f t="shared" si="108"/>
        <v>16.343999999999998</v>
      </c>
      <c r="J779" s="242"/>
      <c r="M779" s="243"/>
      <c r="W779" s="243"/>
      <c r="Z779" s="243"/>
    </row>
    <row r="780" spans="1:26" s="228" customFormat="1" ht="13.5" thickBot="1">
      <c r="A780" s="263" t="str">
        <f t="shared" si="107"/>
        <v>Gutter</v>
      </c>
      <c r="B780" s="271">
        <f>B777</f>
        <v>12.57</v>
      </c>
      <c r="C780" s="272">
        <v>8.26</v>
      </c>
      <c r="D780" s="272">
        <v>0</v>
      </c>
      <c r="E780" s="273">
        <v>0</v>
      </c>
      <c r="F780" s="265">
        <f t="shared" si="108"/>
        <v>20.83</v>
      </c>
      <c r="J780" s="242"/>
      <c r="M780" s="243"/>
      <c r="W780" s="243"/>
      <c r="Z780" s="243"/>
    </row>
    <row r="781" spans="1:26" s="228" customFormat="1">
      <c r="E781" s="229"/>
    </row>
    <row r="782" spans="1:26" s="228" customFormat="1" ht="13.5" thickBot="1">
      <c r="E782" s="229"/>
      <c r="J782" s="244"/>
      <c r="K782" s="244"/>
      <c r="L782" s="244"/>
      <c r="M782" s="244"/>
      <c r="N782" s="244"/>
      <c r="O782" s="244"/>
      <c r="P782" s="244"/>
      <c r="Q782" s="244"/>
    </row>
    <row r="783" spans="1:26" s="228" customFormat="1" ht="15.75" customHeight="1" thickBot="1">
      <c r="A783" s="125" t="s">
        <v>504</v>
      </c>
      <c r="B783" s="262">
        <f>E791</f>
        <v>0</v>
      </c>
      <c r="C783" s="245" t="s">
        <v>505</v>
      </c>
      <c r="D783" s="246"/>
      <c r="E783" s="247"/>
      <c r="F783" s="248"/>
      <c r="J783" s="244"/>
      <c r="K783" s="249"/>
      <c r="L783" s="250"/>
      <c r="M783" s="251"/>
      <c r="N783" s="950"/>
      <c r="O783" s="950"/>
      <c r="P783" s="244"/>
      <c r="Q783" s="244"/>
    </row>
    <row r="784" spans="1:26" s="228" customFormat="1" ht="13.5" thickBot="1">
      <c r="E784" s="229"/>
      <c r="J784" s="244"/>
      <c r="K784" s="244"/>
      <c r="L784" s="244"/>
      <c r="M784" s="244"/>
      <c r="N784" s="244"/>
      <c r="O784" s="244"/>
      <c r="P784" s="251"/>
      <c r="Q784" s="244"/>
    </row>
    <row r="785" spans="1:17" s="228" customFormat="1" ht="13.5" thickBot="1">
      <c r="A785" s="230" t="s">
        <v>382</v>
      </c>
      <c r="B785" s="231" t="s">
        <v>291</v>
      </c>
      <c r="C785" s="232" t="s">
        <v>383</v>
      </c>
      <c r="D785" s="232" t="s">
        <v>384</v>
      </c>
      <c r="E785" s="252" t="s">
        <v>506</v>
      </c>
      <c r="F785" s="253"/>
      <c r="J785" s="244"/>
      <c r="K785" s="251"/>
      <c r="L785" s="254"/>
      <c r="M785" s="251"/>
      <c r="N785" s="251"/>
      <c r="O785" s="251"/>
      <c r="P785" s="241"/>
      <c r="Q785" s="244"/>
    </row>
    <row r="786" spans="1:17" s="228" customFormat="1">
      <c r="A786" s="235"/>
      <c r="B786" s="235"/>
      <c r="C786" s="235"/>
      <c r="D786" s="235"/>
      <c r="E786" s="255"/>
      <c r="F786" s="256"/>
      <c r="J786" s="244"/>
      <c r="K786" s="241"/>
      <c r="L786" s="241"/>
      <c r="M786" s="241"/>
      <c r="N786" s="241"/>
      <c r="O786" s="241"/>
      <c r="P786" s="250"/>
      <c r="Q786" s="244"/>
    </row>
    <row r="787" spans="1:17" s="228" customFormat="1">
      <c r="A787" s="72" t="s">
        <v>507</v>
      </c>
      <c r="B787" s="237">
        <v>1</v>
      </c>
      <c r="C787" s="237">
        <v>0</v>
      </c>
      <c r="D787" s="237">
        <v>0</v>
      </c>
      <c r="E787" s="257">
        <f>D787*C787*B787</f>
        <v>0</v>
      </c>
      <c r="F787" s="258"/>
      <c r="J787" s="244"/>
      <c r="K787" s="241"/>
      <c r="L787" s="241"/>
      <c r="M787" s="241"/>
      <c r="N787" s="241"/>
      <c r="O787" s="250"/>
      <c r="P787" s="250"/>
      <c r="Q787" s="244"/>
    </row>
    <row r="788" spans="1:17" s="228" customFormat="1">
      <c r="A788" s="72" t="s">
        <v>507</v>
      </c>
      <c r="B788" s="237">
        <v>1</v>
      </c>
      <c r="C788" s="237">
        <v>0</v>
      </c>
      <c r="D788" s="237">
        <v>0</v>
      </c>
      <c r="E788" s="257">
        <f t="shared" ref="E788:E789" si="109">D788*C788*B788</f>
        <v>0</v>
      </c>
      <c r="F788" s="258"/>
      <c r="J788" s="244"/>
      <c r="K788" s="241"/>
      <c r="L788" s="241"/>
      <c r="M788" s="241"/>
      <c r="N788" s="241"/>
      <c r="O788" s="250"/>
      <c r="P788" s="250"/>
      <c r="Q788" s="244"/>
    </row>
    <row r="789" spans="1:17" s="228" customFormat="1">
      <c r="A789" s="72" t="s">
        <v>507</v>
      </c>
      <c r="B789" s="237">
        <v>1</v>
      </c>
      <c r="C789" s="237">
        <v>0</v>
      </c>
      <c r="D789" s="237">
        <v>0</v>
      </c>
      <c r="E789" s="257">
        <f t="shared" si="109"/>
        <v>0</v>
      </c>
      <c r="F789" s="258"/>
      <c r="J789" s="244"/>
      <c r="K789" s="241"/>
      <c r="L789" s="241"/>
      <c r="M789" s="241"/>
      <c r="N789" s="241"/>
      <c r="O789" s="250"/>
      <c r="P789" s="250"/>
      <c r="Q789" s="244"/>
    </row>
    <row r="790" spans="1:17" s="228" customFormat="1" ht="13.5" thickBot="1">
      <c r="A790" s="76"/>
      <c r="B790" s="239"/>
      <c r="C790" s="239"/>
      <c r="D790" s="239"/>
      <c r="E790" s="259"/>
      <c r="F790" s="258"/>
      <c r="J790" s="244"/>
      <c r="K790" s="223"/>
      <c r="L790" s="241"/>
      <c r="M790" s="241"/>
      <c r="N790" s="241"/>
      <c r="O790" s="250"/>
      <c r="P790" s="101"/>
      <c r="Q790" s="244"/>
    </row>
    <row r="791" spans="1:17" s="228" customFormat="1" ht="15.75" customHeight="1" thickBot="1">
      <c r="A791" s="921" t="s">
        <v>393</v>
      </c>
      <c r="B791" s="924"/>
      <c r="C791" s="924"/>
      <c r="D791" s="925"/>
      <c r="E791" s="111">
        <f>SUM(E786:E790)</f>
        <v>0</v>
      </c>
      <c r="F791" s="260"/>
      <c r="J791" s="244"/>
      <c r="K791" s="943"/>
      <c r="L791" s="943"/>
      <c r="M791" s="943"/>
      <c r="N791" s="943"/>
      <c r="O791" s="101"/>
      <c r="P791" s="244"/>
      <c r="Q791" s="244"/>
    </row>
    <row r="792" spans="1:17" s="228" customFormat="1" ht="13.5" thickBot="1">
      <c r="E792" s="229"/>
      <c r="J792" s="244"/>
      <c r="K792" s="244"/>
      <c r="L792" s="244"/>
      <c r="M792" s="244"/>
      <c r="N792" s="244"/>
      <c r="O792" s="244"/>
      <c r="P792" s="244"/>
      <c r="Q792" s="244"/>
    </row>
    <row r="793" spans="1:17" s="228" customFormat="1" ht="15.75" customHeight="1" thickBot="1">
      <c r="A793" s="125" t="s">
        <v>508</v>
      </c>
      <c r="B793" s="262">
        <f>E800</f>
        <v>63.712199999999996</v>
      </c>
      <c r="C793" s="245" t="s">
        <v>505</v>
      </c>
      <c r="D793" s="246"/>
      <c r="E793" s="247"/>
      <c r="F793" s="248"/>
      <c r="J793" s="244"/>
      <c r="K793" s="249"/>
      <c r="L793" s="250"/>
      <c r="M793" s="251"/>
      <c r="N793" s="950"/>
      <c r="O793" s="950"/>
      <c r="P793" s="244"/>
      <c r="Q793" s="244"/>
    </row>
    <row r="794" spans="1:17" s="228" customFormat="1" ht="13.5" thickBot="1">
      <c r="E794" s="229"/>
      <c r="J794" s="244"/>
      <c r="K794" s="244"/>
      <c r="L794" s="244"/>
      <c r="M794" s="244"/>
      <c r="N794" s="244"/>
      <c r="O794" s="244"/>
      <c r="P794" s="251"/>
      <c r="Q794" s="244"/>
    </row>
    <row r="795" spans="1:17" s="228" customFormat="1" ht="13.5" thickBot="1">
      <c r="A795" s="230" t="s">
        <v>382</v>
      </c>
      <c r="B795" s="231" t="s">
        <v>291</v>
      </c>
      <c r="C795" s="232" t="s">
        <v>384</v>
      </c>
      <c r="D795" s="232"/>
      <c r="E795" s="252" t="s">
        <v>506</v>
      </c>
      <c r="F795" s="253"/>
      <c r="J795" s="244"/>
      <c r="K795" s="251"/>
      <c r="L795" s="254"/>
      <c r="M795" s="251"/>
      <c r="N795" s="251"/>
      <c r="O795" s="251"/>
      <c r="P795" s="241"/>
      <c r="Q795" s="244"/>
    </row>
    <row r="796" spans="1:17" s="228" customFormat="1">
      <c r="A796" s="235"/>
      <c r="B796" s="235"/>
      <c r="C796" s="235"/>
      <c r="D796" s="235"/>
      <c r="E796" s="255"/>
      <c r="F796" s="256"/>
      <c r="J796" s="244"/>
      <c r="K796" s="241"/>
      <c r="L796" s="241"/>
      <c r="M796" s="241"/>
      <c r="N796" s="241"/>
      <c r="O796" s="241"/>
      <c r="P796" s="250"/>
      <c r="Q796" s="244"/>
    </row>
    <row r="797" spans="1:17" s="228" customFormat="1">
      <c r="A797" s="261" t="s">
        <v>509</v>
      </c>
      <c r="B797" s="237">
        <v>20</v>
      </c>
      <c r="C797" s="237">
        <v>0.66</v>
      </c>
      <c r="D797" s="237">
        <v>4.4509999999999996</v>
      </c>
      <c r="E797" s="257">
        <f>D797*C797*B797</f>
        <v>58.753199999999993</v>
      </c>
      <c r="F797" s="258"/>
      <c r="J797" s="244"/>
      <c r="K797" s="241"/>
      <c r="L797" s="241"/>
      <c r="M797" s="241"/>
      <c r="N797" s="241"/>
      <c r="O797" s="250"/>
      <c r="P797" s="250"/>
      <c r="Q797" s="244"/>
    </row>
    <row r="798" spans="1:17" s="228" customFormat="1">
      <c r="A798" s="261" t="s">
        <v>510</v>
      </c>
      <c r="B798" s="237">
        <v>13</v>
      </c>
      <c r="C798" s="237">
        <v>0.66</v>
      </c>
      <c r="D798" s="237">
        <v>4.2990000000000004</v>
      </c>
      <c r="E798" s="257">
        <f t="shared" ref="E798" si="110">D798+C798</f>
        <v>4.9590000000000005</v>
      </c>
      <c r="F798" s="258"/>
      <c r="J798" s="244"/>
      <c r="K798" s="241"/>
      <c r="L798" s="241"/>
      <c r="M798" s="241"/>
      <c r="N798" s="241"/>
      <c r="O798" s="250"/>
      <c r="P798" s="250"/>
      <c r="Q798" s="244"/>
    </row>
    <row r="799" spans="1:17" s="228" customFormat="1" ht="13.5" thickBot="1">
      <c r="A799" s="76"/>
      <c r="B799" s="239"/>
      <c r="C799" s="239"/>
      <c r="D799" s="239"/>
      <c r="E799" s="259"/>
      <c r="F799" s="258"/>
      <c r="J799" s="244"/>
      <c r="K799" s="223"/>
      <c r="L799" s="241"/>
      <c r="M799" s="241"/>
      <c r="N799" s="241"/>
      <c r="O799" s="250"/>
      <c r="P799" s="101"/>
      <c r="Q799" s="244"/>
    </row>
    <row r="800" spans="1:17" s="228" customFormat="1" ht="15.75" customHeight="1" thickBot="1">
      <c r="A800" s="921" t="s">
        <v>393</v>
      </c>
      <c r="B800" s="924"/>
      <c r="C800" s="924"/>
      <c r="D800" s="925"/>
      <c r="E800" s="111">
        <f>SUM(E796:E799)</f>
        <v>63.712199999999996</v>
      </c>
      <c r="F800" s="260"/>
      <c r="J800" s="244"/>
      <c r="K800" s="943"/>
      <c r="L800" s="943"/>
      <c r="M800" s="943"/>
      <c r="N800" s="943"/>
      <c r="O800" s="101"/>
      <c r="P800" s="244"/>
      <c r="Q800" s="244"/>
    </row>
    <row r="801" spans="1:17" s="228" customFormat="1">
      <c r="E801" s="229"/>
      <c r="J801" s="244"/>
      <c r="K801" s="244"/>
      <c r="L801" s="244"/>
      <c r="M801" s="244"/>
      <c r="N801" s="244"/>
      <c r="O801" s="244"/>
      <c r="P801" s="244"/>
      <c r="Q801" s="244"/>
    </row>
    <row r="814" spans="1:17" ht="13.5" thickBot="1"/>
    <row r="815" spans="1:17" s="228" customFormat="1" ht="15.75" customHeight="1" thickBot="1">
      <c r="A815" s="948" t="s">
        <v>493</v>
      </c>
      <c r="B815" s="949"/>
      <c r="C815" s="949"/>
      <c r="D815" s="227"/>
      <c r="E815" s="227"/>
    </row>
    <row r="816" spans="1:17" s="228" customFormat="1" ht="13.5" thickBot="1">
      <c r="D816" s="229"/>
    </row>
    <row r="817" spans="1:25" s="228" customFormat="1" ht="15.75" customHeight="1" thickBot="1">
      <c r="A817" s="948" t="s">
        <v>494</v>
      </c>
      <c r="B817" s="949"/>
      <c r="C817" s="949"/>
      <c r="D817" s="227"/>
      <c r="E817" s="227"/>
    </row>
    <row r="818" spans="1:25" s="228" customFormat="1" ht="13.5" thickBot="1">
      <c r="A818" s="230" t="s">
        <v>382</v>
      </c>
      <c r="B818" s="231" t="s">
        <v>291</v>
      </c>
      <c r="C818" s="232" t="s">
        <v>383</v>
      </c>
      <c r="D818" s="233" t="s">
        <v>495</v>
      </c>
    </row>
    <row r="819" spans="1:25" s="228" customFormat="1">
      <c r="A819" s="235"/>
      <c r="B819" s="235"/>
      <c r="C819" s="235"/>
      <c r="D819" s="235"/>
    </row>
    <row r="820" spans="1:25" s="228" customFormat="1">
      <c r="A820" s="72" t="s">
        <v>511</v>
      </c>
      <c r="B820" s="237">
        <f>E829</f>
        <v>0</v>
      </c>
      <c r="C820" s="237">
        <v>0</v>
      </c>
      <c r="D820" s="238">
        <f t="shared" ref="D820:D827" si="111">C820*B820</f>
        <v>0</v>
      </c>
    </row>
    <row r="821" spans="1:25" s="228" customFormat="1">
      <c r="A821" s="72" t="s">
        <v>512</v>
      </c>
      <c r="B821" s="237">
        <f>E830</f>
        <v>0</v>
      </c>
      <c r="C821" s="237">
        <v>0</v>
      </c>
      <c r="D821" s="238">
        <f t="shared" si="111"/>
        <v>0</v>
      </c>
    </row>
    <row r="822" spans="1:25" s="228" customFormat="1">
      <c r="A822" s="72" t="s">
        <v>498</v>
      </c>
      <c r="B822" s="237">
        <f>E833</f>
        <v>0</v>
      </c>
      <c r="C822" s="237">
        <v>0</v>
      </c>
      <c r="D822" s="238">
        <f t="shared" si="111"/>
        <v>0</v>
      </c>
    </row>
    <row r="823" spans="1:25" s="228" customFormat="1">
      <c r="A823" s="72" t="s">
        <v>513</v>
      </c>
      <c r="B823" s="237">
        <f>E834</f>
        <v>0</v>
      </c>
      <c r="C823" s="237">
        <v>0</v>
      </c>
      <c r="D823" s="238">
        <f t="shared" si="111"/>
        <v>0</v>
      </c>
    </row>
    <row r="824" spans="1:25" s="228" customFormat="1">
      <c r="A824" s="72" t="s">
        <v>514</v>
      </c>
      <c r="B824" s="237">
        <f>E835</f>
        <v>0</v>
      </c>
      <c r="C824" s="237">
        <v>0</v>
      </c>
      <c r="D824" s="238">
        <f t="shared" si="111"/>
        <v>0</v>
      </c>
    </row>
    <row r="825" spans="1:25" s="228" customFormat="1">
      <c r="A825" s="72" t="s">
        <v>515</v>
      </c>
      <c r="B825" s="237">
        <f>E838</f>
        <v>0</v>
      </c>
      <c r="C825" s="237">
        <v>0</v>
      </c>
      <c r="D825" s="238">
        <f t="shared" si="111"/>
        <v>0</v>
      </c>
    </row>
    <row r="826" spans="1:25" s="228" customFormat="1">
      <c r="A826" s="72" t="s">
        <v>516</v>
      </c>
      <c r="B826" s="237">
        <f>E839</f>
        <v>0</v>
      </c>
      <c r="C826" s="237">
        <v>0</v>
      </c>
      <c r="D826" s="238">
        <f t="shared" si="111"/>
        <v>0</v>
      </c>
    </row>
    <row r="827" spans="1:25" s="228" customFormat="1">
      <c r="A827" s="72" t="s">
        <v>503</v>
      </c>
      <c r="B827" s="237">
        <f>E838</f>
        <v>0</v>
      </c>
      <c r="C827" s="237">
        <v>0</v>
      </c>
      <c r="D827" s="238">
        <f t="shared" si="111"/>
        <v>0</v>
      </c>
    </row>
    <row r="828" spans="1:25" s="228" customFormat="1" ht="13.5" thickBot="1">
      <c r="A828" s="76"/>
      <c r="B828" s="239"/>
      <c r="C828" s="239"/>
      <c r="D828" s="240"/>
    </row>
    <row r="829" spans="1:25" s="228" customFormat="1">
      <c r="D829" s="229"/>
    </row>
    <row r="830" spans="1:25" s="228" customFormat="1" ht="13.5" thickBot="1">
      <c r="D830" s="229"/>
    </row>
    <row r="831" spans="1:25" s="228" customFormat="1" ht="13.5" thickBot="1">
      <c r="A831" s="263" t="str">
        <f t="shared" ref="A831:A838" si="112">A820</f>
        <v>75mmx75mm Ridge</v>
      </c>
      <c r="B831" s="763">
        <v>0</v>
      </c>
      <c r="C831" s="763">
        <v>0</v>
      </c>
      <c r="D831" s="763">
        <v>0</v>
      </c>
      <c r="E831" s="114">
        <f t="shared" ref="E831:E838" si="113">SUM(B831:D831)</f>
        <v>0</v>
      </c>
      <c r="I831" s="242"/>
      <c r="L831" s="243"/>
      <c r="V831" s="243"/>
      <c r="Y831" s="243"/>
    </row>
    <row r="832" spans="1:25" s="228" customFormat="1" ht="13.5" thickBot="1">
      <c r="A832" s="263" t="str">
        <f t="shared" si="112"/>
        <v>75mmx75mm Wall plate</v>
      </c>
      <c r="B832" s="763">
        <v>0</v>
      </c>
      <c r="C832" s="763">
        <v>0</v>
      </c>
      <c r="D832" s="763">
        <v>0</v>
      </c>
      <c r="E832" s="114">
        <f t="shared" si="113"/>
        <v>0</v>
      </c>
      <c r="I832" s="242"/>
      <c r="L832" s="243"/>
      <c r="V832" s="243"/>
      <c r="Y832" s="243"/>
    </row>
    <row r="833" spans="1:25" s="228" customFormat="1" ht="13.5" thickBot="1">
      <c r="A833" s="263" t="str">
        <f t="shared" si="112"/>
        <v>50x150mm Timber Rafter</v>
      </c>
      <c r="B833" s="763">
        <v>0</v>
      </c>
      <c r="C833" s="763">
        <v>0</v>
      </c>
      <c r="D833" s="763">
        <v>0</v>
      </c>
      <c r="E833" s="114">
        <f t="shared" si="113"/>
        <v>0</v>
      </c>
      <c r="I833" s="242"/>
      <c r="L833" s="243"/>
      <c r="V833" s="243"/>
      <c r="Y833" s="243"/>
    </row>
    <row r="834" spans="1:25" s="228" customFormat="1" ht="13.5" thickBot="1">
      <c r="A834" s="263" t="str">
        <f t="shared" si="112"/>
        <v>Fascia Board (20x250mm)</v>
      </c>
      <c r="B834" s="763">
        <v>0</v>
      </c>
      <c r="C834" s="763">
        <v>0</v>
      </c>
      <c r="D834" s="763">
        <v>0</v>
      </c>
      <c r="E834" s="114">
        <f t="shared" si="113"/>
        <v>0</v>
      </c>
      <c r="I834" s="242"/>
      <c r="L834" s="243"/>
      <c r="V834" s="243"/>
      <c r="Y834" s="243"/>
    </row>
    <row r="835" spans="1:25" s="228" customFormat="1" ht="13.5" thickBot="1">
      <c r="A835" s="263" t="str">
        <f t="shared" si="112"/>
        <v>Ridge cap</v>
      </c>
      <c r="B835" s="763">
        <v>0</v>
      </c>
      <c r="C835" s="763">
        <v>0</v>
      </c>
      <c r="D835" s="763">
        <v>0</v>
      </c>
      <c r="E835" s="114">
        <f t="shared" si="113"/>
        <v>0</v>
      </c>
      <c r="I835" s="242"/>
      <c r="L835" s="243"/>
      <c r="V835" s="243"/>
      <c r="Y835" s="243"/>
    </row>
    <row r="836" spans="1:25" s="228" customFormat="1" ht="13.5" thickBot="1">
      <c r="A836" s="263" t="str">
        <f t="shared" si="112"/>
        <v>Ridge Flashing</v>
      </c>
      <c r="B836" s="763">
        <v>0</v>
      </c>
      <c r="C836" s="763">
        <v>0</v>
      </c>
      <c r="D836" s="763">
        <v>0</v>
      </c>
      <c r="E836" s="114">
        <f t="shared" si="113"/>
        <v>0</v>
      </c>
      <c r="I836" s="242"/>
      <c r="L836" s="243"/>
      <c r="V836" s="243"/>
      <c r="Y836" s="243"/>
    </row>
    <row r="837" spans="1:25" s="228" customFormat="1" ht="13.5" thickBot="1">
      <c r="A837" s="263" t="str">
        <f t="shared" si="112"/>
        <v>Side Flashing</v>
      </c>
      <c r="B837" s="763">
        <v>0</v>
      </c>
      <c r="C837" s="763">
        <v>0</v>
      </c>
      <c r="D837" s="763">
        <v>0</v>
      </c>
      <c r="E837" s="114">
        <f t="shared" si="113"/>
        <v>0</v>
      </c>
      <c r="I837" s="242"/>
      <c r="L837" s="243"/>
      <c r="V837" s="243"/>
      <c r="Y837" s="243"/>
    </row>
    <row r="838" spans="1:25" s="228" customFormat="1" ht="13.5" thickBot="1">
      <c r="A838" s="263" t="str">
        <f t="shared" si="112"/>
        <v>Gutter</v>
      </c>
      <c r="B838" s="763">
        <v>0</v>
      </c>
      <c r="C838" s="763">
        <v>0</v>
      </c>
      <c r="D838" s="763">
        <v>0</v>
      </c>
      <c r="E838" s="114">
        <f t="shared" si="113"/>
        <v>0</v>
      </c>
      <c r="I838" s="242"/>
      <c r="L838" s="243"/>
      <c r="V838" s="243"/>
      <c r="Y838" s="243"/>
    </row>
    <row r="839" spans="1:25" s="228" customFormat="1">
      <c r="D839" s="229"/>
    </row>
    <row r="840" spans="1:25" s="228" customFormat="1" ht="13.5" thickBot="1">
      <c r="D840" s="229"/>
      <c r="I840" s="244"/>
      <c r="J840" s="244"/>
      <c r="K840" s="244"/>
      <c r="L840" s="244"/>
      <c r="M840" s="244"/>
      <c r="N840" s="244"/>
      <c r="O840" s="244"/>
      <c r="P840" s="244"/>
    </row>
    <row r="841" spans="1:25" s="228" customFormat="1" ht="15.75" customHeight="1" thickBot="1">
      <c r="A841" s="125" t="s">
        <v>504</v>
      </c>
      <c r="B841" s="262" t="e">
        <f>D849</f>
        <v>#REF!</v>
      </c>
      <c r="C841" s="246"/>
      <c r="D841" s="247"/>
      <c r="E841" s="248"/>
      <c r="I841" s="244"/>
      <c r="J841" s="249"/>
      <c r="K841" s="250"/>
      <c r="L841" s="251"/>
      <c r="M841" s="950"/>
      <c r="N841" s="950"/>
      <c r="O841" s="244"/>
      <c r="P841" s="244"/>
    </row>
    <row r="842" spans="1:25" s="228" customFormat="1" ht="13.5" thickBot="1">
      <c r="D842" s="229"/>
      <c r="I842" s="244"/>
      <c r="J842" s="244"/>
      <c r="K842" s="244"/>
      <c r="L842" s="244"/>
      <c r="M842" s="244"/>
      <c r="N842" s="244"/>
      <c r="O842" s="251"/>
      <c r="P842" s="244"/>
    </row>
    <row r="843" spans="1:25" s="228" customFormat="1" ht="13.5" thickBot="1">
      <c r="A843" s="230" t="s">
        <v>382</v>
      </c>
      <c r="B843" s="231" t="s">
        <v>291</v>
      </c>
      <c r="C843" s="232" t="s">
        <v>384</v>
      </c>
      <c r="D843" s="252" t="s">
        <v>506</v>
      </c>
      <c r="E843" s="253"/>
      <c r="I843" s="244"/>
      <c r="J843" s="251"/>
      <c r="K843" s="254"/>
      <c r="L843" s="251"/>
      <c r="M843" s="251"/>
      <c r="N843" s="251"/>
      <c r="O843" s="241"/>
      <c r="P843" s="244"/>
    </row>
    <row r="844" spans="1:25" s="228" customFormat="1">
      <c r="A844" s="235"/>
      <c r="B844" s="235"/>
      <c r="C844" s="235"/>
      <c r="D844" s="255"/>
      <c r="E844" s="256"/>
      <c r="I844" s="244"/>
      <c r="J844" s="241"/>
      <c r="K844" s="241"/>
      <c r="L844" s="241"/>
      <c r="M844" s="241"/>
      <c r="N844" s="241"/>
      <c r="O844" s="250"/>
      <c r="P844" s="244"/>
    </row>
    <row r="845" spans="1:25" s="228" customFormat="1">
      <c r="A845" s="72" t="s">
        <v>507</v>
      </c>
      <c r="B845" s="237">
        <v>1</v>
      </c>
      <c r="C845" s="237">
        <v>77.528000000000006</v>
      </c>
      <c r="D845" s="257" t="e">
        <f>C845+#REF!</f>
        <v>#REF!</v>
      </c>
      <c r="E845" s="258"/>
      <c r="I845" s="244"/>
      <c r="J845" s="241"/>
      <c r="K845" s="241"/>
      <c r="L845" s="241"/>
      <c r="M845" s="241"/>
      <c r="N845" s="250"/>
      <c r="O845" s="250"/>
      <c r="P845" s="244"/>
    </row>
    <row r="846" spans="1:25" s="228" customFormat="1">
      <c r="A846" s="72" t="s">
        <v>507</v>
      </c>
      <c r="B846" s="237">
        <v>1</v>
      </c>
      <c r="C846" s="237">
        <v>133.25</v>
      </c>
      <c r="D846" s="257" t="e">
        <f>C846+#REF!</f>
        <v>#REF!</v>
      </c>
      <c r="E846" s="258"/>
      <c r="I846" s="244"/>
      <c r="J846" s="241"/>
      <c r="K846" s="241"/>
      <c r="L846" s="241"/>
      <c r="M846" s="241"/>
      <c r="N846" s="250"/>
      <c r="O846" s="250"/>
      <c r="P846" s="244"/>
    </row>
    <row r="847" spans="1:25" s="228" customFormat="1">
      <c r="A847" s="72" t="s">
        <v>507</v>
      </c>
      <c r="B847" s="237">
        <v>1</v>
      </c>
      <c r="C847" s="237">
        <v>14</v>
      </c>
      <c r="D847" s="257" t="e">
        <f>C847+#REF!</f>
        <v>#REF!</v>
      </c>
      <c r="E847" s="258"/>
      <c r="I847" s="244"/>
      <c r="J847" s="241"/>
      <c r="K847" s="241"/>
      <c r="L847" s="241"/>
      <c r="M847" s="241"/>
      <c r="N847" s="250"/>
      <c r="O847" s="250"/>
      <c r="P847" s="244"/>
    </row>
    <row r="848" spans="1:25" s="228" customFormat="1" ht="13.5" thickBot="1">
      <c r="A848" s="76"/>
      <c r="B848" s="239"/>
      <c r="C848" s="239"/>
      <c r="D848" s="259"/>
      <c r="E848" s="258"/>
      <c r="I848" s="244"/>
      <c r="J848" s="223"/>
      <c r="K848" s="241"/>
      <c r="L848" s="241"/>
      <c r="M848" s="241"/>
      <c r="N848" s="250"/>
      <c r="O848" s="101"/>
      <c r="P848" s="244"/>
    </row>
    <row r="849" spans="1:16" s="228" customFormat="1" ht="15.75" customHeight="1" thickBot="1">
      <c r="A849" s="921" t="s">
        <v>393</v>
      </c>
      <c r="B849" s="924"/>
      <c r="C849" s="925"/>
      <c r="D849" s="111" t="e">
        <f>SUM(D844:D848)</f>
        <v>#REF!</v>
      </c>
      <c r="E849" s="260"/>
      <c r="I849" s="244"/>
      <c r="J849" s="943"/>
      <c r="K849" s="943"/>
      <c r="L849" s="943"/>
      <c r="M849" s="943"/>
      <c r="N849" s="101"/>
      <c r="O849" s="244"/>
      <c r="P849" s="244"/>
    </row>
    <row r="850" spans="1:16" s="228" customFormat="1" ht="13.5" thickBot="1">
      <c r="D850" s="229"/>
      <c r="I850" s="244"/>
      <c r="J850" s="244"/>
      <c r="K850" s="244"/>
      <c r="L850" s="244"/>
      <c r="M850" s="244"/>
      <c r="N850" s="244"/>
      <c r="O850" s="244"/>
      <c r="P850" s="244"/>
    </row>
    <row r="851" spans="1:16" s="228" customFormat="1" ht="15.75" customHeight="1" thickBot="1">
      <c r="A851" s="125" t="s">
        <v>508</v>
      </c>
      <c r="B851" s="262" t="e">
        <f>D859</f>
        <v>#REF!</v>
      </c>
      <c r="C851" s="246"/>
      <c r="D851" s="247"/>
      <c r="E851" s="248"/>
      <c r="I851" s="244"/>
      <c r="J851" s="249"/>
      <c r="K851" s="250"/>
      <c r="L851" s="251"/>
      <c r="M851" s="950"/>
      <c r="N851" s="950"/>
      <c r="O851" s="244"/>
      <c r="P851" s="244"/>
    </row>
    <row r="852" spans="1:16" s="228" customFormat="1" ht="13.5" thickBot="1">
      <c r="D852" s="229"/>
      <c r="I852" s="244"/>
      <c r="J852" s="244"/>
      <c r="K852" s="244"/>
      <c r="L852" s="244"/>
      <c r="M852" s="244"/>
      <c r="N852" s="244"/>
      <c r="O852" s="251"/>
      <c r="P852" s="244"/>
    </row>
    <row r="853" spans="1:16" s="228" customFormat="1" ht="13.5" thickBot="1">
      <c r="A853" s="230" t="s">
        <v>382</v>
      </c>
      <c r="B853" s="231" t="s">
        <v>291</v>
      </c>
      <c r="C853" s="232"/>
      <c r="D853" s="252" t="s">
        <v>506</v>
      </c>
      <c r="E853" s="253"/>
      <c r="I853" s="244"/>
      <c r="J853" s="251"/>
      <c r="K853" s="254"/>
      <c r="L853" s="251"/>
      <c r="M853" s="251"/>
      <c r="N853" s="251"/>
      <c r="O853" s="241"/>
      <c r="P853" s="244"/>
    </row>
    <row r="854" spans="1:16" s="228" customFormat="1">
      <c r="A854" s="235"/>
      <c r="B854" s="235"/>
      <c r="C854" s="235"/>
      <c r="D854" s="255"/>
      <c r="E854" s="256"/>
      <c r="I854" s="244"/>
      <c r="J854" s="241"/>
      <c r="K854" s="241"/>
      <c r="L854" s="241"/>
      <c r="M854" s="241"/>
      <c r="N854" s="241"/>
      <c r="O854" s="250"/>
      <c r="P854" s="244"/>
    </row>
    <row r="855" spans="1:16" s="228" customFormat="1">
      <c r="A855" s="261" t="s">
        <v>517</v>
      </c>
      <c r="B855" s="237">
        <v>1</v>
      </c>
      <c r="C855" s="237">
        <v>77.528000000000006</v>
      </c>
      <c r="D855" s="257" t="e">
        <f>C855+#REF!</f>
        <v>#REF!</v>
      </c>
      <c r="E855" s="258"/>
      <c r="I855" s="244"/>
      <c r="J855" s="241"/>
      <c r="K855" s="241"/>
      <c r="L855" s="241"/>
      <c r="M855" s="241"/>
      <c r="N855" s="250"/>
      <c r="O855" s="250"/>
      <c r="P855" s="244"/>
    </row>
    <row r="856" spans="1:16" s="228" customFormat="1">
      <c r="A856" s="261" t="s">
        <v>517</v>
      </c>
      <c r="B856" s="237">
        <v>1</v>
      </c>
      <c r="C856" s="237">
        <v>133.25</v>
      </c>
      <c r="D856" s="257" t="e">
        <f>C856+#REF!</f>
        <v>#REF!</v>
      </c>
      <c r="E856" s="258"/>
      <c r="I856" s="244"/>
      <c r="J856" s="241"/>
      <c r="K856" s="241"/>
      <c r="L856" s="241"/>
      <c r="M856" s="241"/>
      <c r="N856" s="250"/>
      <c r="O856" s="250"/>
      <c r="P856" s="244"/>
    </row>
    <row r="857" spans="1:16" s="228" customFormat="1">
      <c r="A857" s="261" t="s">
        <v>517</v>
      </c>
      <c r="B857" s="237">
        <v>1</v>
      </c>
      <c r="C857" s="237">
        <v>14</v>
      </c>
      <c r="D857" s="257" t="e">
        <f>C857+#REF!</f>
        <v>#REF!</v>
      </c>
      <c r="E857" s="258"/>
      <c r="I857" s="244"/>
      <c r="J857" s="241"/>
      <c r="K857" s="241"/>
      <c r="L857" s="241"/>
      <c r="M857" s="241"/>
      <c r="N857" s="250"/>
      <c r="O857" s="250"/>
      <c r="P857" s="244"/>
    </row>
    <row r="858" spans="1:16" s="228" customFormat="1" ht="13.5" thickBot="1">
      <c r="A858" s="76"/>
      <c r="B858" s="239"/>
      <c r="C858" s="239"/>
      <c r="D858" s="259"/>
      <c r="E858" s="258"/>
      <c r="I858" s="244"/>
      <c r="J858" s="223"/>
      <c r="K858" s="241"/>
      <c r="L858" s="241"/>
      <c r="M858" s="241"/>
      <c r="N858" s="250"/>
      <c r="O858" s="101"/>
      <c r="P858" s="244"/>
    </row>
    <row r="859" spans="1:16" s="228" customFormat="1" ht="15.75" customHeight="1" thickBot="1">
      <c r="A859" s="921" t="s">
        <v>393</v>
      </c>
      <c r="B859" s="924"/>
      <c r="C859" s="925"/>
      <c r="D859" s="111" t="e">
        <f>SUM(D854:D858)</f>
        <v>#REF!</v>
      </c>
      <c r="E859" s="260"/>
      <c r="I859" s="244"/>
      <c r="J859" s="943"/>
      <c r="K859" s="943"/>
      <c r="L859" s="943"/>
      <c r="M859" s="943"/>
      <c r="N859" s="101"/>
      <c r="O859" s="244"/>
      <c r="P859" s="244"/>
    </row>
  </sheetData>
  <mergeCells count="105">
    <mergeCell ref="A158:E158"/>
    <mergeCell ref="A172:E172"/>
    <mergeCell ref="H172:L172"/>
    <mergeCell ref="O367:R367"/>
    <mergeCell ref="A376:D376"/>
    <mergeCell ref="H376:J376"/>
    <mergeCell ref="O376:R376"/>
    <mergeCell ref="A430:D430"/>
    <mergeCell ref="O300:R300"/>
    <mergeCell ref="A309:D309"/>
    <mergeCell ref="H309:J309"/>
    <mergeCell ref="O309:R309"/>
    <mergeCell ref="A236:E236"/>
    <mergeCell ref="A289:D289"/>
    <mergeCell ref="A244:D244"/>
    <mergeCell ref="H244:J244"/>
    <mergeCell ref="O244:R244"/>
    <mergeCell ref="O162:S162"/>
    <mergeCell ref="A181:D181"/>
    <mergeCell ref="H181:J181"/>
    <mergeCell ref="A225:D225"/>
    <mergeCell ref="O172:R172"/>
    <mergeCell ref="O181:R181"/>
    <mergeCell ref="N783:O783"/>
    <mergeCell ref="A791:D791"/>
    <mergeCell ref="K791:N791"/>
    <mergeCell ref="N793:O793"/>
    <mergeCell ref="A800:D800"/>
    <mergeCell ref="K800:N800"/>
    <mergeCell ref="A859:C859"/>
    <mergeCell ref="J859:M859"/>
    <mergeCell ref="A815:C815"/>
    <mergeCell ref="A817:C817"/>
    <mergeCell ref="M841:N841"/>
    <mergeCell ref="A849:C849"/>
    <mergeCell ref="J849:M849"/>
    <mergeCell ref="M851:N851"/>
    <mergeCell ref="A581:D581"/>
    <mergeCell ref="H581:J581"/>
    <mergeCell ref="A759:D759"/>
    <mergeCell ref="A619:D619"/>
    <mergeCell ref="A641:E641"/>
    <mergeCell ref="H641:L641"/>
    <mergeCell ref="A650:D650"/>
    <mergeCell ref="H650:J650"/>
    <mergeCell ref="A688:D688"/>
    <mergeCell ref="A710:E710"/>
    <mergeCell ref="H710:L710"/>
    <mergeCell ref="A719:D719"/>
    <mergeCell ref="H719:J719"/>
    <mergeCell ref="A757:D757"/>
    <mergeCell ref="A572:E572"/>
    <mergeCell ref="H572:L572"/>
    <mergeCell ref="A300:E300"/>
    <mergeCell ref="H300:L300"/>
    <mergeCell ref="A416:D416"/>
    <mergeCell ref="H416:J416"/>
    <mergeCell ref="A356:D356"/>
    <mergeCell ref="A367:E367"/>
    <mergeCell ref="H367:L367"/>
    <mergeCell ref="B1:F1"/>
    <mergeCell ref="I4:J4"/>
    <mergeCell ref="A13:E13"/>
    <mergeCell ref="I13:M13"/>
    <mergeCell ref="A21:E21"/>
    <mergeCell ref="I21:M21"/>
    <mergeCell ref="O236:R236"/>
    <mergeCell ref="H236:L236"/>
    <mergeCell ref="P157:S157"/>
    <mergeCell ref="I28:J28"/>
    <mergeCell ref="A37:E37"/>
    <mergeCell ref="I37:M37"/>
    <mergeCell ref="A45:E45"/>
    <mergeCell ref="I45:M45"/>
    <mergeCell ref="S121:T121"/>
    <mergeCell ref="A129:E129"/>
    <mergeCell ref="H129:L129"/>
    <mergeCell ref="P129:S129"/>
    <mergeCell ref="S139:T139"/>
    <mergeCell ref="A137:E137"/>
    <mergeCell ref="H137:L137"/>
    <mergeCell ref="H107:L107"/>
    <mergeCell ref="A150:E150"/>
    <mergeCell ref="S152:T152"/>
    <mergeCell ref="T55:W55"/>
    <mergeCell ref="O55:R55"/>
    <mergeCell ref="T52:U52"/>
    <mergeCell ref="O52:P52"/>
    <mergeCell ref="A146:E146"/>
    <mergeCell ref="A107:E107"/>
    <mergeCell ref="H100:I100"/>
    <mergeCell ref="A97:E97"/>
    <mergeCell ref="H63:L63"/>
    <mergeCell ref="A63:E63"/>
    <mergeCell ref="I88:M88"/>
    <mergeCell ref="I82:J82"/>
    <mergeCell ref="B80:F80"/>
    <mergeCell ref="H70:L70"/>
    <mergeCell ref="A70:E70"/>
    <mergeCell ref="H52:I52"/>
    <mergeCell ref="H115:L115"/>
    <mergeCell ref="A115:E115"/>
    <mergeCell ref="O112:Q115"/>
    <mergeCell ref="P143:S143"/>
    <mergeCell ref="A88:E88"/>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B00AB-0A59-4DFC-BB75-1BE867E433C1}">
  <sheetPr>
    <tabColor rgb="FFFF0000"/>
  </sheetPr>
  <dimension ref="A1:Z890"/>
  <sheetViews>
    <sheetView topLeftCell="A40" zoomScale="85" zoomScaleNormal="85" workbookViewId="0">
      <selection activeCell="C336" sqref="C336"/>
    </sheetView>
  </sheetViews>
  <sheetFormatPr defaultRowHeight="12.75"/>
  <cols>
    <col min="1" max="1" width="28.28515625" style="75" customWidth="1"/>
    <col min="2" max="2" width="9.140625" style="75"/>
    <col min="3" max="3" width="11.42578125" style="75" customWidth="1"/>
    <col min="4" max="4" width="11.5703125" style="75" customWidth="1"/>
    <col min="5" max="5" width="9.7109375" style="75" customWidth="1"/>
    <col min="6" max="6" width="10.42578125" style="75" customWidth="1"/>
    <col min="7" max="7" width="7.7109375" style="75" customWidth="1"/>
    <col min="8" max="8" width="20.28515625" style="75" customWidth="1"/>
    <col min="9" max="9" width="11.28515625" style="75" customWidth="1"/>
    <col min="10" max="10" width="10.5703125" style="75" customWidth="1"/>
    <col min="11" max="11" width="10.5703125" style="75" hidden="1" customWidth="1"/>
    <col min="12" max="12" width="11.28515625" style="75" customWidth="1"/>
    <col min="13" max="13" width="12.28515625" style="75" customWidth="1"/>
    <col min="14" max="14" width="9.85546875" style="75" customWidth="1"/>
    <col min="15" max="15" width="13" style="75" customWidth="1"/>
    <col min="16" max="16" width="10.7109375" style="75" customWidth="1"/>
    <col min="17" max="18" width="9.140625" style="75"/>
    <col min="19" max="19" width="11.28515625" style="75" customWidth="1"/>
    <col min="20" max="20" width="10.85546875" style="75" customWidth="1"/>
    <col min="21" max="16384" width="9.140625" style="75"/>
  </cols>
  <sheetData>
    <row r="1" spans="1:14" ht="15.75" thickBot="1">
      <c r="A1" s="597" t="s">
        <v>378</v>
      </c>
      <c r="B1" s="929" t="s">
        <v>379</v>
      </c>
      <c r="C1" s="930"/>
      <c r="D1" s="930"/>
      <c r="E1" s="930"/>
      <c r="F1" s="931"/>
    </row>
    <row r="3" spans="1:14" ht="13.5" thickBot="1"/>
    <row r="4" spans="1:14" ht="15.75" thickBot="1">
      <c r="A4" s="328" t="s">
        <v>380</v>
      </c>
      <c r="B4" s="469">
        <f>F11+F18</f>
        <v>114.76452</v>
      </c>
      <c r="C4" s="95" t="s">
        <v>66</v>
      </c>
      <c r="I4" s="927" t="s">
        <v>381</v>
      </c>
      <c r="J4" s="928"/>
      <c r="K4" s="209"/>
      <c r="L4" s="469">
        <f>N11+N18</f>
        <v>93.244599999999991</v>
      </c>
      <c r="M4" s="95" t="s">
        <v>84</v>
      </c>
    </row>
    <row r="5" spans="1:14" ht="13.5" thickBot="1"/>
    <row r="6" spans="1:14" ht="13.5" thickBot="1">
      <c r="A6" s="329" t="s">
        <v>382</v>
      </c>
      <c r="B6" s="330" t="s">
        <v>291</v>
      </c>
      <c r="C6" s="331" t="s">
        <v>383</v>
      </c>
      <c r="D6" s="331" t="s">
        <v>384</v>
      </c>
      <c r="E6" s="331" t="s">
        <v>385</v>
      </c>
      <c r="F6" s="332" t="s">
        <v>386</v>
      </c>
      <c r="I6" s="333" t="s">
        <v>382</v>
      </c>
      <c r="J6" s="330" t="s">
        <v>291</v>
      </c>
      <c r="K6" s="330"/>
      <c r="L6" s="331" t="s">
        <v>383</v>
      </c>
      <c r="M6" s="330" t="s">
        <v>384</v>
      </c>
      <c r="N6" s="334" t="s">
        <v>387</v>
      </c>
    </row>
    <row r="7" spans="1:14">
      <c r="A7" s="82"/>
      <c r="B7" s="82"/>
      <c r="C7" s="82"/>
      <c r="D7" s="82"/>
      <c r="E7" s="82"/>
      <c r="F7" s="82"/>
      <c r="I7" s="82"/>
      <c r="J7" s="82"/>
      <c r="K7" s="82"/>
      <c r="L7" s="82"/>
      <c r="M7" s="82"/>
      <c r="N7" s="82"/>
    </row>
    <row r="8" spans="1:14" ht="15">
      <c r="A8" s="72" t="s">
        <v>388</v>
      </c>
      <c r="B8" s="78">
        <v>8</v>
      </c>
      <c r="C8" s="78">
        <v>1.8</v>
      </c>
      <c r="D8" s="78">
        <v>1.8</v>
      </c>
      <c r="E8" s="78">
        <v>1.25</v>
      </c>
      <c r="F8" s="79">
        <f>E8*D8*C8*B8</f>
        <v>32.4</v>
      </c>
      <c r="G8" s="223" t="s">
        <v>389</v>
      </c>
      <c r="I8" s="72" t="str">
        <f t="shared" ref="I8:J9" si="0">A8</f>
        <v>F1</v>
      </c>
      <c r="J8" s="78">
        <f t="shared" si="0"/>
        <v>8</v>
      </c>
      <c r="K8" s="78"/>
      <c r="L8" s="78">
        <f t="shared" ref="L8:M9" si="1">C8</f>
        <v>1.8</v>
      </c>
      <c r="M8" s="78">
        <f t="shared" si="1"/>
        <v>1.8</v>
      </c>
      <c r="N8" s="79">
        <f>M8*L8*J8</f>
        <v>25.92</v>
      </c>
    </row>
    <row r="9" spans="1:14" ht="15">
      <c r="A9" s="72" t="s">
        <v>390</v>
      </c>
      <c r="B9" s="78">
        <v>14</v>
      </c>
      <c r="C9" s="78">
        <v>1.5</v>
      </c>
      <c r="D9" s="78">
        <v>1.5</v>
      </c>
      <c r="E9" s="78">
        <v>1.25</v>
      </c>
      <c r="F9" s="79">
        <f t="shared" ref="F9" si="2">E9*D9*C9*B9</f>
        <v>39.375</v>
      </c>
      <c r="G9" s="223" t="s">
        <v>389</v>
      </c>
      <c r="I9" s="72" t="str">
        <f t="shared" si="0"/>
        <v>F2</v>
      </c>
      <c r="J9" s="78">
        <f t="shared" si="0"/>
        <v>14</v>
      </c>
      <c r="K9" s="78"/>
      <c r="L9" s="78">
        <f t="shared" si="1"/>
        <v>1.5</v>
      </c>
      <c r="M9" s="78">
        <f t="shared" si="1"/>
        <v>1.5</v>
      </c>
      <c r="N9" s="79">
        <f t="shared" ref="N9" si="3">M9*L9*J9</f>
        <v>31.5</v>
      </c>
    </row>
    <row r="10" spans="1:14" ht="15.75" thickBot="1">
      <c r="A10" s="76"/>
      <c r="B10" s="80"/>
      <c r="C10" s="80"/>
      <c r="D10" s="80"/>
      <c r="E10" s="80"/>
      <c r="F10" s="81"/>
      <c r="I10" s="80"/>
      <c r="J10" s="80"/>
      <c r="K10" s="80"/>
      <c r="L10" s="80"/>
      <c r="M10" s="80"/>
      <c r="N10" s="80"/>
    </row>
    <row r="11" spans="1:14" ht="13.5" thickBot="1">
      <c r="A11" s="921" t="s">
        <v>393</v>
      </c>
      <c r="B11" s="922"/>
      <c r="C11" s="922"/>
      <c r="D11" s="922"/>
      <c r="E11" s="923"/>
      <c r="F11" s="111">
        <f>SUM(F7:F10)</f>
        <v>71.775000000000006</v>
      </c>
      <c r="I11" s="921" t="s">
        <v>393</v>
      </c>
      <c r="J11" s="924"/>
      <c r="K11" s="924"/>
      <c r="L11" s="924"/>
      <c r="M11" s="925"/>
      <c r="N11" s="111">
        <f>SUM(N7:N10)</f>
        <v>57.42</v>
      </c>
    </row>
    <row r="12" spans="1:14" ht="13.5" thickBot="1"/>
    <row r="13" spans="1:14" ht="13.5" thickBot="1">
      <c r="A13" s="329" t="s">
        <v>382</v>
      </c>
      <c r="B13" s="330" t="s">
        <v>291</v>
      </c>
      <c r="C13" s="331" t="s">
        <v>383</v>
      </c>
      <c r="D13" s="331" t="s">
        <v>384</v>
      </c>
      <c r="E13" s="331" t="s">
        <v>385</v>
      </c>
      <c r="F13" s="332" t="s">
        <v>386</v>
      </c>
      <c r="I13" s="333" t="s">
        <v>382</v>
      </c>
      <c r="J13" s="330" t="s">
        <v>291</v>
      </c>
      <c r="K13" s="330"/>
      <c r="L13" s="331" t="s">
        <v>383</v>
      </c>
      <c r="M13" s="330" t="s">
        <v>394</v>
      </c>
      <c r="N13" s="334" t="s">
        <v>387</v>
      </c>
    </row>
    <row r="14" spans="1:14">
      <c r="A14" s="82"/>
      <c r="B14" s="82"/>
      <c r="C14" s="82"/>
      <c r="D14" s="82"/>
      <c r="E14" s="82"/>
      <c r="F14" s="82"/>
      <c r="I14" s="82"/>
      <c r="J14" s="82"/>
      <c r="K14" s="82"/>
      <c r="L14" s="82"/>
      <c r="M14" s="82"/>
      <c r="N14" s="82"/>
    </row>
    <row r="15" spans="1:14" ht="15">
      <c r="A15" s="72" t="s">
        <v>395</v>
      </c>
      <c r="B15" s="78">
        <v>1</v>
      </c>
      <c r="C15" s="78">
        <f>N21</f>
        <v>40.658999999999999</v>
      </c>
      <c r="D15" s="78">
        <v>0.35</v>
      </c>
      <c r="E15" s="78">
        <v>1.2</v>
      </c>
      <c r="F15" s="79">
        <f>E15*D15*C15*B15</f>
        <v>17.076779999999999</v>
      </c>
      <c r="I15" s="72" t="str">
        <f t="shared" ref="I15:J16" si="4">A15</f>
        <v>TB1</v>
      </c>
      <c r="J15" s="78">
        <f t="shared" si="4"/>
        <v>1</v>
      </c>
      <c r="K15" s="78"/>
      <c r="L15" s="78">
        <f>C15</f>
        <v>40.658999999999999</v>
      </c>
      <c r="M15" s="78">
        <f>D15</f>
        <v>0.35</v>
      </c>
      <c r="N15" s="79">
        <f t="shared" ref="N15:N16" si="5">M15*L15*J15</f>
        <v>14.230649999999999</v>
      </c>
    </row>
    <row r="16" spans="1:14" ht="15">
      <c r="A16" s="72" t="s">
        <v>396</v>
      </c>
      <c r="B16" s="78">
        <v>1</v>
      </c>
      <c r="C16" s="78">
        <f>N22</f>
        <v>61.697000000000003</v>
      </c>
      <c r="D16" s="78">
        <v>0.35</v>
      </c>
      <c r="E16" s="78">
        <v>1.2</v>
      </c>
      <c r="F16" s="79">
        <f>E16*D16*C16*B16</f>
        <v>25.912739999999999</v>
      </c>
      <c r="I16" s="72" t="str">
        <f t="shared" si="4"/>
        <v>TB2</v>
      </c>
      <c r="J16" s="78">
        <f t="shared" si="4"/>
        <v>1</v>
      </c>
      <c r="K16" s="78"/>
      <c r="L16" s="78">
        <f>C16</f>
        <v>61.697000000000003</v>
      </c>
      <c r="M16" s="78">
        <f>D16</f>
        <v>0.35</v>
      </c>
      <c r="N16" s="79">
        <f t="shared" si="5"/>
        <v>21.59395</v>
      </c>
    </row>
    <row r="17" spans="1:26" ht="15.75" thickBot="1">
      <c r="A17" s="76"/>
      <c r="B17" s="80"/>
      <c r="C17" s="80"/>
      <c r="D17" s="80"/>
      <c r="E17" s="80"/>
      <c r="F17" s="81"/>
      <c r="I17" s="80"/>
      <c r="J17" s="80"/>
      <c r="K17" s="80"/>
      <c r="L17" s="80"/>
      <c r="M17" s="80"/>
      <c r="N17" s="80"/>
    </row>
    <row r="18" spans="1:26" ht="13.5" thickBot="1">
      <c r="A18" s="921" t="s">
        <v>393</v>
      </c>
      <c r="B18" s="922"/>
      <c r="C18" s="922"/>
      <c r="D18" s="922"/>
      <c r="E18" s="923"/>
      <c r="F18" s="111">
        <f>SUM(F14:F17)</f>
        <v>42.989519999999999</v>
      </c>
      <c r="I18" s="921" t="s">
        <v>393</v>
      </c>
      <c r="J18" s="924"/>
      <c r="K18" s="924"/>
      <c r="L18" s="924"/>
      <c r="M18" s="925"/>
      <c r="N18" s="111">
        <f>SUM(N14:N17)</f>
        <v>35.824599999999997</v>
      </c>
    </row>
    <row r="19" spans="1:26" ht="13.5" thickBot="1"/>
    <row r="20" spans="1:26">
      <c r="A20" s="336" t="s">
        <v>398</v>
      </c>
      <c r="B20" s="223"/>
    </row>
    <row r="21" spans="1:26">
      <c r="A21" s="648" t="str">
        <f>A15</f>
        <v>TB1</v>
      </c>
      <c r="B21" s="100">
        <v>4.3</v>
      </c>
      <c r="C21" s="100">
        <v>1.153</v>
      </c>
      <c r="D21" s="100">
        <v>1.3</v>
      </c>
      <c r="E21" s="100">
        <v>4.3</v>
      </c>
      <c r="F21" s="100">
        <v>1.3</v>
      </c>
      <c r="G21" s="100">
        <v>4.5999999999999996</v>
      </c>
      <c r="H21" s="100">
        <f>4.45+4.45+1.5+1.05</f>
        <v>11.450000000000001</v>
      </c>
      <c r="I21" s="100">
        <f>4.328+1.8+4.328+1.8</f>
        <v>12.256</v>
      </c>
      <c r="J21" s="100"/>
      <c r="K21" s="100"/>
      <c r="L21" s="648"/>
      <c r="M21" s="100"/>
      <c r="N21" s="649">
        <f>SUM(B21:M21)</f>
        <v>40.658999999999999</v>
      </c>
      <c r="V21" s="223"/>
      <c r="W21" s="223"/>
      <c r="Z21" s="101"/>
    </row>
    <row r="22" spans="1:26">
      <c r="A22" s="648" t="str">
        <f>A16</f>
        <v>TB2</v>
      </c>
      <c r="B22" s="100">
        <v>4.5999999999999996</v>
      </c>
      <c r="C22" s="100">
        <v>4.5999999999999996</v>
      </c>
      <c r="D22" s="100">
        <v>4.5999999999999996</v>
      </c>
      <c r="E22" s="100">
        <v>1.6</v>
      </c>
      <c r="F22" s="100">
        <v>1.1499999999999999</v>
      </c>
      <c r="G22" s="100">
        <v>1.597</v>
      </c>
      <c r="H22" s="100">
        <v>1.6</v>
      </c>
      <c r="I22" s="100">
        <v>1.6</v>
      </c>
      <c r="J22" s="100">
        <v>4.5999999999999996</v>
      </c>
      <c r="K22" s="100"/>
      <c r="L22" s="648">
        <v>4.5999999999999996</v>
      </c>
      <c r="M22" s="100">
        <f>4.6+4.6+4.6+4.6+4.6+4.6+1.775+1.775</f>
        <v>31.15</v>
      </c>
      <c r="N22" s="649">
        <f>SUM(B22:M22)</f>
        <v>61.697000000000003</v>
      </c>
      <c r="V22" s="223"/>
      <c r="W22" s="223"/>
      <c r="Z22" s="101"/>
    </row>
    <row r="23" spans="1:26" ht="13.5" thickBot="1"/>
    <row r="24" spans="1:26" ht="15.75" thickBot="1">
      <c r="A24" s="328" t="s">
        <v>62</v>
      </c>
      <c r="B24" s="469">
        <f>F31+F38</f>
        <v>4.6622300000000001</v>
      </c>
      <c r="C24" s="95" t="s">
        <v>66</v>
      </c>
      <c r="I24" s="942"/>
      <c r="J24" s="942"/>
      <c r="K24" s="322"/>
      <c r="L24" s="102"/>
      <c r="M24" s="99"/>
    </row>
    <row r="25" spans="1:26" ht="13.5" thickBot="1"/>
    <row r="26" spans="1:26" ht="13.5" thickBot="1">
      <c r="A26" s="329" t="s">
        <v>382</v>
      </c>
      <c r="B26" s="330" t="s">
        <v>291</v>
      </c>
      <c r="C26" s="331" t="s">
        <v>383</v>
      </c>
      <c r="D26" s="331" t="s">
        <v>384</v>
      </c>
      <c r="E26" s="331" t="s">
        <v>385</v>
      </c>
      <c r="F26" s="332" t="s">
        <v>386</v>
      </c>
      <c r="I26" s="321"/>
      <c r="J26" s="321"/>
      <c r="K26" s="321"/>
      <c r="L26" s="105"/>
      <c r="M26" s="321"/>
      <c r="N26" s="321"/>
    </row>
    <row r="27" spans="1:26">
      <c r="A27" s="82"/>
      <c r="B27" s="82"/>
      <c r="C27" s="82"/>
      <c r="D27" s="82"/>
      <c r="E27" s="82"/>
      <c r="F27" s="82"/>
    </row>
    <row r="28" spans="1:26" ht="15">
      <c r="A28" s="72" t="str">
        <f t="shared" ref="A28:D29" si="6">A8</f>
        <v>F1</v>
      </c>
      <c r="B28" s="78">
        <f t="shared" si="6"/>
        <v>8</v>
      </c>
      <c r="C28" s="78">
        <f t="shared" si="6"/>
        <v>1.8</v>
      </c>
      <c r="D28" s="78">
        <f t="shared" si="6"/>
        <v>1.8</v>
      </c>
      <c r="E28" s="78">
        <v>0.05</v>
      </c>
      <c r="F28" s="79">
        <f>E28*D28*C28*B28</f>
        <v>1.2960000000000003</v>
      </c>
      <c r="I28" s="223"/>
      <c r="N28" s="102"/>
    </row>
    <row r="29" spans="1:26" ht="15">
      <c r="A29" s="72" t="str">
        <f t="shared" si="6"/>
        <v>F2</v>
      </c>
      <c r="B29" s="78">
        <f t="shared" si="6"/>
        <v>14</v>
      </c>
      <c r="C29" s="78">
        <f t="shared" si="6"/>
        <v>1.5</v>
      </c>
      <c r="D29" s="78">
        <f t="shared" si="6"/>
        <v>1.5</v>
      </c>
      <c r="E29" s="78">
        <v>0.05</v>
      </c>
      <c r="F29" s="79">
        <f t="shared" ref="F29" si="7">E29*D29*C29*B29</f>
        <v>1.5750000000000002</v>
      </c>
      <c r="I29" s="223"/>
      <c r="N29" s="102"/>
    </row>
    <row r="30" spans="1:26" ht="15.75" thickBot="1">
      <c r="A30" s="76"/>
      <c r="B30" s="80"/>
      <c r="C30" s="80"/>
      <c r="D30" s="80"/>
      <c r="E30" s="80"/>
      <c r="F30" s="81"/>
    </row>
    <row r="31" spans="1:26" ht="13.5" thickBot="1">
      <c r="A31" s="921" t="s">
        <v>393</v>
      </c>
      <c r="B31" s="922"/>
      <c r="C31" s="922"/>
      <c r="D31" s="922"/>
      <c r="E31" s="923"/>
      <c r="F31" s="111">
        <f>SUM(F27:F30)</f>
        <v>2.8710000000000004</v>
      </c>
      <c r="I31" s="943"/>
      <c r="J31" s="943"/>
      <c r="K31" s="943"/>
      <c r="L31" s="943"/>
      <c r="M31" s="943"/>
      <c r="N31" s="101"/>
    </row>
    <row r="32" spans="1:26" ht="13.5" thickBot="1"/>
    <row r="33" spans="1:23" ht="13.5" thickBot="1">
      <c r="A33" s="329" t="s">
        <v>382</v>
      </c>
      <c r="B33" s="330" t="s">
        <v>291</v>
      </c>
      <c r="C33" s="331" t="s">
        <v>383</v>
      </c>
      <c r="D33" s="331" t="s">
        <v>384</v>
      </c>
      <c r="E33" s="331" t="s">
        <v>385</v>
      </c>
      <c r="F33" s="332" t="s">
        <v>386</v>
      </c>
      <c r="I33" s="321"/>
      <c r="J33" s="321"/>
      <c r="K33" s="321"/>
      <c r="L33" s="105"/>
      <c r="M33" s="321"/>
      <c r="N33" s="321"/>
    </row>
    <row r="34" spans="1:23">
      <c r="A34" s="82"/>
      <c r="B34" s="82"/>
      <c r="C34" s="82"/>
      <c r="D34" s="82"/>
      <c r="E34" s="82"/>
      <c r="F34" s="82"/>
    </row>
    <row r="35" spans="1:23" ht="15">
      <c r="A35" s="72" t="str">
        <f t="shared" ref="A35:D36" si="8">A15</f>
        <v>TB1</v>
      </c>
      <c r="B35" s="78">
        <f t="shared" si="8"/>
        <v>1</v>
      </c>
      <c r="C35" s="78">
        <f t="shared" si="8"/>
        <v>40.658999999999999</v>
      </c>
      <c r="D35" s="78">
        <f t="shared" si="8"/>
        <v>0.35</v>
      </c>
      <c r="E35" s="78">
        <v>0.05</v>
      </c>
      <c r="F35" s="79">
        <f>E35*D35*C35*B35</f>
        <v>0.7115324999999999</v>
      </c>
      <c r="I35" s="223"/>
      <c r="N35" s="102"/>
    </row>
    <row r="36" spans="1:23" ht="15">
      <c r="A36" s="72" t="str">
        <f t="shared" si="8"/>
        <v>TB2</v>
      </c>
      <c r="B36" s="78">
        <f t="shared" si="8"/>
        <v>1</v>
      </c>
      <c r="C36" s="78">
        <f t="shared" si="8"/>
        <v>61.697000000000003</v>
      </c>
      <c r="D36" s="78">
        <f t="shared" si="8"/>
        <v>0.35</v>
      </c>
      <c r="E36" s="78">
        <v>0.05</v>
      </c>
      <c r="F36" s="79">
        <f>E36*D36*C36*B36</f>
        <v>1.0796975</v>
      </c>
      <c r="I36" s="223"/>
      <c r="N36" s="102"/>
    </row>
    <row r="37" spans="1:23" ht="15.75" thickBot="1">
      <c r="A37" s="76"/>
      <c r="B37" s="80"/>
      <c r="C37" s="80"/>
      <c r="D37" s="80"/>
      <c r="E37" s="80"/>
      <c r="F37" s="81"/>
    </row>
    <row r="38" spans="1:23" ht="13.5" thickBot="1">
      <c r="A38" s="921" t="s">
        <v>393</v>
      </c>
      <c r="B38" s="922"/>
      <c r="C38" s="922"/>
      <c r="D38" s="922"/>
      <c r="E38" s="923"/>
      <c r="F38" s="111">
        <f>SUM(F34:F37)</f>
        <v>1.7912299999999999</v>
      </c>
      <c r="I38" s="943"/>
      <c r="J38" s="943"/>
      <c r="K38" s="943"/>
      <c r="L38" s="943"/>
      <c r="M38" s="943"/>
      <c r="N38" s="101"/>
    </row>
    <row r="39" spans="1:23" ht="13.5" thickBot="1"/>
    <row r="40" spans="1:23" ht="15.75" thickBot="1">
      <c r="A40" s="328" t="s">
        <v>400</v>
      </c>
      <c r="B40" s="97"/>
      <c r="C40" s="98"/>
      <c r="H40" s="919" t="s">
        <v>401</v>
      </c>
      <c r="I40" s="920"/>
      <c r="O40" s="919" t="s">
        <v>402</v>
      </c>
      <c r="P40" s="920"/>
      <c r="T40" s="919" t="s">
        <v>402</v>
      </c>
      <c r="U40" s="920"/>
    </row>
    <row r="41" spans="1:23" ht="15.75" thickBot="1">
      <c r="A41" s="328" t="s">
        <v>403</v>
      </c>
      <c r="B41" s="469">
        <f>F49</f>
        <v>32.788000000000004</v>
      </c>
      <c r="C41" s="95" t="s">
        <v>66</v>
      </c>
      <c r="H41" s="328" t="str">
        <f>A41</f>
        <v>FOOTING</v>
      </c>
      <c r="I41" s="470">
        <f>M49</f>
        <v>66.080000000000013</v>
      </c>
      <c r="J41" s="118" t="s">
        <v>84</v>
      </c>
      <c r="K41" s="210"/>
      <c r="O41" s="328" t="str">
        <f>H41</f>
        <v>FOOTING</v>
      </c>
      <c r="P41" s="470">
        <f>R49</f>
        <v>84.86</v>
      </c>
      <c r="Q41" s="118" t="s">
        <v>84</v>
      </c>
      <c r="T41" s="328" t="str">
        <f>O41</f>
        <v>FOOTING</v>
      </c>
      <c r="U41" s="470">
        <f>W49</f>
        <v>66.080000000000013</v>
      </c>
      <c r="V41" s="118" t="s">
        <v>84</v>
      </c>
    </row>
    <row r="42" spans="1:23" ht="15.75" thickBot="1">
      <c r="A42" s="328" t="s">
        <v>404</v>
      </c>
      <c r="B42" s="469">
        <f>F55</f>
        <v>0</v>
      </c>
      <c r="C42" s="95" t="s">
        <v>66</v>
      </c>
      <c r="H42" s="328" t="str">
        <f>A42</f>
        <v>TIE BEAM</v>
      </c>
      <c r="I42" s="470">
        <f>M55</f>
        <v>0</v>
      </c>
      <c r="J42" s="118" t="s">
        <v>84</v>
      </c>
      <c r="K42" s="210"/>
      <c r="O42" s="570" t="str">
        <f>H42</f>
        <v>TIE BEAM</v>
      </c>
      <c r="P42" s="571">
        <f>R55</f>
        <v>0</v>
      </c>
      <c r="Q42" s="572" t="s">
        <v>84</v>
      </c>
      <c r="T42" s="570" t="str">
        <f>O42</f>
        <v>TIE BEAM</v>
      </c>
      <c r="U42" s="571">
        <f>W55</f>
        <v>0</v>
      </c>
      <c r="V42" s="572" t="s">
        <v>84</v>
      </c>
    </row>
    <row r="43" spans="1:23" ht="13.5" thickBot="1">
      <c r="O43" s="916" t="s">
        <v>405</v>
      </c>
      <c r="P43" s="917"/>
      <c r="Q43" s="917"/>
      <c r="R43" s="918"/>
      <c r="T43" s="916" t="s">
        <v>406</v>
      </c>
      <c r="U43" s="917"/>
      <c r="V43" s="917"/>
      <c r="W43" s="918"/>
    </row>
    <row r="44" spans="1:23" ht="13.5" thickBot="1">
      <c r="A44" s="329" t="s">
        <v>382</v>
      </c>
      <c r="B44" s="330" t="s">
        <v>291</v>
      </c>
      <c r="C44" s="330" t="s">
        <v>383</v>
      </c>
      <c r="D44" s="331" t="s">
        <v>384</v>
      </c>
      <c r="E44" s="331" t="s">
        <v>385</v>
      </c>
      <c r="F44" s="332" t="s">
        <v>386</v>
      </c>
      <c r="H44" s="329" t="s">
        <v>382</v>
      </c>
      <c r="I44" s="330" t="s">
        <v>291</v>
      </c>
      <c r="J44" s="331" t="s">
        <v>410</v>
      </c>
      <c r="K44" s="330" t="s">
        <v>407</v>
      </c>
      <c r="L44" s="330" t="s">
        <v>385</v>
      </c>
      <c r="M44" s="334" t="s">
        <v>408</v>
      </c>
      <c r="O44" s="568" t="s">
        <v>382</v>
      </c>
      <c r="P44" s="569" t="s">
        <v>291</v>
      </c>
      <c r="Q44" s="569" t="s">
        <v>409</v>
      </c>
      <c r="R44" s="569" t="s">
        <v>387</v>
      </c>
      <c r="T44" s="329" t="s">
        <v>382</v>
      </c>
      <c r="U44" s="330" t="s">
        <v>410</v>
      </c>
      <c r="V44" s="330" t="s">
        <v>385</v>
      </c>
      <c r="W44" s="330" t="s">
        <v>387</v>
      </c>
    </row>
    <row r="45" spans="1:23">
      <c r="A45" s="82"/>
      <c r="B45" s="82"/>
      <c r="C45" s="82"/>
      <c r="D45" s="82"/>
      <c r="E45" s="82"/>
      <c r="F45" s="82"/>
      <c r="H45" s="82"/>
      <c r="I45" s="82"/>
      <c r="J45" s="82"/>
      <c r="K45" s="82"/>
      <c r="L45" s="82"/>
      <c r="M45" s="82"/>
      <c r="O45" s="82"/>
      <c r="P45" s="82"/>
      <c r="Q45" s="82"/>
      <c r="R45" s="82"/>
      <c r="T45" s="82"/>
      <c r="U45" s="82"/>
      <c r="V45" s="82"/>
      <c r="W45" s="82"/>
    </row>
    <row r="46" spans="1:23" ht="15">
      <c r="A46" s="72" t="str">
        <f>A8</f>
        <v>F1</v>
      </c>
      <c r="B46" s="78">
        <f>B8</f>
        <v>8</v>
      </c>
      <c r="C46" s="78">
        <v>1.7</v>
      </c>
      <c r="D46" s="78">
        <v>1.7</v>
      </c>
      <c r="E46" s="78">
        <v>0.35</v>
      </c>
      <c r="F46" s="79">
        <f>E46*D46*C46*B46</f>
        <v>8.0919999999999987</v>
      </c>
      <c r="H46" s="72" t="str">
        <f t="shared" ref="H46:I47" si="9">A46</f>
        <v>F1</v>
      </c>
      <c r="I46" s="78">
        <f t="shared" si="9"/>
        <v>8</v>
      </c>
      <c r="J46" s="78">
        <f>2*(C46+D46)</f>
        <v>6.8</v>
      </c>
      <c r="K46" s="78">
        <v>0.05</v>
      </c>
      <c r="L46" s="78">
        <f>E46</f>
        <v>0.35</v>
      </c>
      <c r="M46" s="79">
        <f>I46*J46*L46</f>
        <v>19.04</v>
      </c>
      <c r="O46" s="72" t="str">
        <f t="shared" ref="O46:O47" si="10">H46</f>
        <v>F1</v>
      </c>
      <c r="P46" s="78">
        <f>I46</f>
        <v>8</v>
      </c>
      <c r="Q46" s="78">
        <f>C46*D46</f>
        <v>2.8899999999999997</v>
      </c>
      <c r="R46" s="78">
        <f>Q46*P46</f>
        <v>23.119999999999997</v>
      </c>
      <c r="T46" s="72" t="str">
        <f>O46</f>
        <v>F1</v>
      </c>
      <c r="U46" s="78">
        <f>J46</f>
        <v>6.8</v>
      </c>
      <c r="V46" s="78">
        <f>L46</f>
        <v>0.35</v>
      </c>
      <c r="W46" s="78">
        <f>V46*U46*I46</f>
        <v>19.04</v>
      </c>
    </row>
    <row r="47" spans="1:23" ht="15">
      <c r="A47" s="72" t="str">
        <f>A9</f>
        <v>F2</v>
      </c>
      <c r="B47" s="78">
        <f>B9</f>
        <v>14</v>
      </c>
      <c r="C47" s="78">
        <v>2.1</v>
      </c>
      <c r="D47" s="78">
        <v>2.1</v>
      </c>
      <c r="E47" s="78">
        <v>0.4</v>
      </c>
      <c r="F47" s="79">
        <f t="shared" ref="F47" si="11">E47*D47*C47*B47</f>
        <v>24.696000000000005</v>
      </c>
      <c r="H47" s="72" t="str">
        <f t="shared" si="9"/>
        <v>F2</v>
      </c>
      <c r="I47" s="78">
        <f t="shared" si="9"/>
        <v>14</v>
      </c>
      <c r="J47" s="78">
        <f>2*(C47+D47)</f>
        <v>8.4</v>
      </c>
      <c r="K47" s="78"/>
      <c r="L47" s="78">
        <f t="shared" ref="L47" si="12">E47</f>
        <v>0.4</v>
      </c>
      <c r="M47" s="79">
        <f t="shared" ref="M47" si="13">I47*J47*L47</f>
        <v>47.040000000000006</v>
      </c>
      <c r="O47" s="72" t="str">
        <f t="shared" si="10"/>
        <v>F2</v>
      </c>
      <c r="P47" s="78">
        <f>I47</f>
        <v>14</v>
      </c>
      <c r="Q47" s="78">
        <f t="shared" ref="Q47" si="14">C47*D47</f>
        <v>4.41</v>
      </c>
      <c r="R47" s="78">
        <f t="shared" ref="R47" si="15">Q47*P47</f>
        <v>61.74</v>
      </c>
      <c r="T47" s="72" t="str">
        <f>O47</f>
        <v>F2</v>
      </c>
      <c r="U47" s="78">
        <f>J47</f>
        <v>8.4</v>
      </c>
      <c r="V47" s="78">
        <f>L47</f>
        <v>0.4</v>
      </c>
      <c r="W47" s="78">
        <f t="shared" ref="W47" si="16">V47*U47*I47</f>
        <v>47.040000000000006</v>
      </c>
    </row>
    <row r="48" spans="1:23" ht="15.75" thickBot="1">
      <c r="A48" s="72"/>
      <c r="B48" s="78"/>
      <c r="C48" s="78"/>
      <c r="D48" s="78"/>
      <c r="E48" s="78"/>
      <c r="F48" s="79"/>
      <c r="H48" s="72"/>
      <c r="I48" s="78"/>
      <c r="J48" s="78"/>
      <c r="K48" s="78"/>
      <c r="L48" s="78"/>
      <c r="M48" s="79"/>
      <c r="O48" s="80"/>
      <c r="P48" s="80"/>
      <c r="Q48" s="80"/>
      <c r="R48" s="80"/>
      <c r="T48" s="80"/>
      <c r="U48" s="80"/>
      <c r="V48" s="80"/>
      <c r="W48" s="80"/>
    </row>
    <row r="49" spans="1:26" ht="13.5" thickBot="1">
      <c r="A49" s="921" t="s">
        <v>393</v>
      </c>
      <c r="B49" s="924"/>
      <c r="C49" s="924"/>
      <c r="D49" s="924"/>
      <c r="E49" s="925"/>
      <c r="F49" s="111">
        <f>SUM(F45:F48)</f>
        <v>32.788000000000004</v>
      </c>
      <c r="H49" s="921" t="s">
        <v>393</v>
      </c>
      <c r="I49" s="924"/>
      <c r="J49" s="924"/>
      <c r="K49" s="924"/>
      <c r="L49" s="925"/>
      <c r="M49" s="111">
        <f>SUM(M46:M48)</f>
        <v>66.080000000000013</v>
      </c>
      <c r="O49" s="456"/>
      <c r="P49" s="457"/>
      <c r="Q49" s="457" t="s">
        <v>393</v>
      </c>
      <c r="R49" s="111">
        <f>SUM(R46:R48)</f>
        <v>84.86</v>
      </c>
      <c r="T49" s="456"/>
      <c r="U49" s="457"/>
      <c r="V49" s="457" t="s">
        <v>393</v>
      </c>
      <c r="W49" s="111">
        <f>SUM(W46:W48)</f>
        <v>66.080000000000013</v>
      </c>
    </row>
    <row r="50" spans="1:26" ht="13.5" thickBot="1"/>
    <row r="51" spans="1:26" ht="13.5" thickBot="1">
      <c r="A51" s="329" t="s">
        <v>382</v>
      </c>
      <c r="B51" s="330" t="s">
        <v>291</v>
      </c>
      <c r="C51" s="330" t="s">
        <v>383</v>
      </c>
      <c r="D51" s="331" t="s">
        <v>384</v>
      </c>
      <c r="E51" s="331" t="s">
        <v>385</v>
      </c>
      <c r="F51" s="332" t="s">
        <v>386</v>
      </c>
      <c r="H51" s="329" t="s">
        <v>382</v>
      </c>
      <c r="I51" s="330" t="s">
        <v>291</v>
      </c>
      <c r="J51" s="331" t="s">
        <v>383</v>
      </c>
      <c r="K51" s="330" t="s">
        <v>407</v>
      </c>
      <c r="L51" s="330" t="s">
        <v>385</v>
      </c>
      <c r="M51" s="334" t="s">
        <v>408</v>
      </c>
      <c r="O51" s="329" t="s">
        <v>382</v>
      </c>
      <c r="P51" s="331" t="s">
        <v>383</v>
      </c>
      <c r="Q51" s="330" t="s">
        <v>384</v>
      </c>
      <c r="R51" s="574" t="s">
        <v>387</v>
      </c>
      <c r="T51" s="329" t="s">
        <v>382</v>
      </c>
      <c r="U51" s="331" t="s">
        <v>383</v>
      </c>
      <c r="V51" s="573" t="s">
        <v>385</v>
      </c>
      <c r="W51" s="574" t="s">
        <v>387</v>
      </c>
    </row>
    <row r="52" spans="1:26">
      <c r="A52" s="82"/>
      <c r="B52" s="82"/>
      <c r="C52" s="82"/>
      <c r="D52" s="82"/>
      <c r="E52" s="82"/>
      <c r="F52" s="82"/>
      <c r="H52" s="82"/>
      <c r="I52" s="82"/>
      <c r="J52" s="82"/>
      <c r="K52" s="82"/>
      <c r="L52" s="82"/>
      <c r="M52" s="82"/>
      <c r="O52" s="82"/>
      <c r="P52" s="82"/>
      <c r="Q52" s="82"/>
      <c r="R52" s="82"/>
      <c r="T52" s="82"/>
      <c r="U52" s="82"/>
      <c r="V52" s="82"/>
      <c r="W52" s="82"/>
    </row>
    <row r="53" spans="1:26" ht="15">
      <c r="A53" s="72" t="s">
        <v>518</v>
      </c>
      <c r="B53" s="78">
        <v>1</v>
      </c>
      <c r="C53" s="78">
        <f>N58</f>
        <v>0</v>
      </c>
      <c r="D53" s="78">
        <v>0.25</v>
      </c>
      <c r="E53" s="78">
        <v>0.4</v>
      </c>
      <c r="F53" s="79">
        <f>E53*D53*C53*B53</f>
        <v>0</v>
      </c>
      <c r="H53" s="72" t="str">
        <f t="shared" ref="H53:I53" si="17">A53</f>
        <v>TB1 &amp; TB2</v>
      </c>
      <c r="I53" s="78">
        <f t="shared" si="17"/>
        <v>1</v>
      </c>
      <c r="J53" s="78">
        <f>C53*2</f>
        <v>0</v>
      </c>
      <c r="K53" s="78">
        <v>0.05</v>
      </c>
      <c r="L53" s="78">
        <v>0.4</v>
      </c>
      <c r="M53" s="79">
        <f>J53*L53*I53</f>
        <v>0</v>
      </c>
      <c r="O53" s="72" t="s">
        <v>519</v>
      </c>
      <c r="P53" s="78">
        <f>C53</f>
        <v>0</v>
      </c>
      <c r="Q53" s="78">
        <f>D53</f>
        <v>0.25</v>
      </c>
      <c r="R53" s="78">
        <f>Q53*P53*B53</f>
        <v>0</v>
      </c>
      <c r="T53" s="72" t="s">
        <v>519</v>
      </c>
      <c r="U53" s="78">
        <f>J53</f>
        <v>0</v>
      </c>
      <c r="V53" s="78">
        <f>E53</f>
        <v>0.4</v>
      </c>
      <c r="W53" s="78">
        <f>V53*U53</f>
        <v>0</v>
      </c>
    </row>
    <row r="54" spans="1:26" ht="15.75" thickBot="1">
      <c r="A54" s="76"/>
      <c r="B54" s="80"/>
      <c r="C54" s="80"/>
      <c r="D54" s="80"/>
      <c r="E54" s="80"/>
      <c r="F54" s="81"/>
      <c r="H54" s="72"/>
      <c r="I54" s="78"/>
      <c r="J54" s="78"/>
      <c r="K54" s="78"/>
      <c r="L54" s="78"/>
      <c r="M54" s="79"/>
      <c r="O54" s="80"/>
      <c r="P54" s="80"/>
      <c r="Q54" s="80"/>
      <c r="R54" s="80"/>
      <c r="T54" s="80"/>
      <c r="U54" s="80"/>
      <c r="V54" s="80"/>
      <c r="W54" s="80"/>
    </row>
    <row r="55" spans="1:26" ht="13.5" thickBot="1">
      <c r="A55" s="921" t="s">
        <v>393</v>
      </c>
      <c r="B55" s="924"/>
      <c r="C55" s="924"/>
      <c r="D55" s="924"/>
      <c r="E55" s="925"/>
      <c r="F55" s="111">
        <f>SUM(F52:F54)</f>
        <v>0</v>
      </c>
      <c r="H55" s="921" t="s">
        <v>393</v>
      </c>
      <c r="I55" s="924"/>
      <c r="J55" s="924"/>
      <c r="K55" s="924"/>
      <c r="L55" s="925"/>
      <c r="M55" s="111">
        <f>SUM(M52:M54)</f>
        <v>0</v>
      </c>
      <c r="O55" s="456"/>
      <c r="P55" s="457"/>
      <c r="Q55" s="457" t="s">
        <v>393</v>
      </c>
      <c r="R55" s="111">
        <f>SUM(R51:R54)</f>
        <v>0</v>
      </c>
      <c r="T55" s="456"/>
      <c r="U55" s="457"/>
      <c r="V55" s="457" t="s">
        <v>393</v>
      </c>
      <c r="W55" s="111">
        <f>SUM(W51:W54)</f>
        <v>0</v>
      </c>
    </row>
    <row r="56" spans="1:26" ht="13.5" thickBot="1"/>
    <row r="57" spans="1:26" ht="13.5" thickBot="1">
      <c r="A57" s="111" t="s">
        <v>398</v>
      </c>
      <c r="B57" s="223"/>
    </row>
    <row r="58" spans="1:26">
      <c r="A58" s="648" t="str">
        <f>A53</f>
        <v>TB1 &amp; TB2</v>
      </c>
      <c r="B58" s="100">
        <v>0</v>
      </c>
      <c r="C58" s="100">
        <v>0</v>
      </c>
      <c r="D58" s="100">
        <v>0</v>
      </c>
      <c r="E58" s="100">
        <v>0</v>
      </c>
      <c r="F58" s="100"/>
      <c r="G58" s="100"/>
      <c r="H58" s="100"/>
      <c r="I58" s="100"/>
      <c r="J58" s="100"/>
      <c r="K58" s="100"/>
      <c r="L58" s="648"/>
      <c r="M58" s="100"/>
      <c r="N58" s="649">
        <f>SUM(B58:M58)</f>
        <v>0</v>
      </c>
      <c r="V58" s="223"/>
      <c r="W58" s="223"/>
      <c r="Z58" s="101"/>
    </row>
    <row r="59" spans="1:26" hidden="1"/>
    <row r="60" spans="1:26" hidden="1"/>
    <row r="61" spans="1:26" hidden="1"/>
    <row r="62" spans="1:26" hidden="1"/>
    <row r="63" spans="1:26" s="454" customFormat="1" ht="13.5" hidden="1" thickBot="1">
      <c r="A63" s="453"/>
    </row>
    <row r="64" spans="1:26" hidden="1"/>
    <row r="65" spans="1:14" ht="15.75" hidden="1" thickBot="1">
      <c r="A65" s="327" t="s">
        <v>378</v>
      </c>
      <c r="B65" s="929" t="s">
        <v>413</v>
      </c>
      <c r="C65" s="930"/>
      <c r="D65" s="930"/>
      <c r="E65" s="930"/>
      <c r="F65" s="931"/>
    </row>
    <row r="66" spans="1:14" hidden="1"/>
    <row r="67" spans="1:14" ht="15.75" hidden="1" thickBot="1">
      <c r="A67" s="328" t="s">
        <v>380</v>
      </c>
      <c r="B67" s="92">
        <f>F73</f>
        <v>0</v>
      </c>
      <c r="C67" s="95" t="s">
        <v>66</v>
      </c>
      <c r="I67" s="927" t="s">
        <v>381</v>
      </c>
      <c r="J67" s="928"/>
      <c r="K67" s="209"/>
      <c r="L67" s="92">
        <f>N73</f>
        <v>0</v>
      </c>
      <c r="M67" s="95" t="s">
        <v>84</v>
      </c>
    </row>
    <row r="68" spans="1:14" hidden="1"/>
    <row r="69" spans="1:14" ht="13.5" hidden="1" thickBot="1">
      <c r="A69" s="329" t="s">
        <v>382</v>
      </c>
      <c r="B69" s="330" t="s">
        <v>291</v>
      </c>
      <c r="C69" s="330" t="s">
        <v>414</v>
      </c>
      <c r="D69" s="331" t="s">
        <v>384</v>
      </c>
      <c r="E69" s="331" t="s">
        <v>385</v>
      </c>
      <c r="F69" s="332" t="s">
        <v>386</v>
      </c>
      <c r="I69" s="333" t="s">
        <v>382</v>
      </c>
      <c r="J69" s="330" t="s">
        <v>291</v>
      </c>
      <c r="K69" s="330"/>
      <c r="L69" s="331" t="s">
        <v>383</v>
      </c>
      <c r="M69" s="330" t="s">
        <v>394</v>
      </c>
      <c r="N69" s="334" t="s">
        <v>387</v>
      </c>
    </row>
    <row r="70" spans="1:14" hidden="1">
      <c r="A70" s="82"/>
      <c r="B70" s="82"/>
      <c r="C70" s="82"/>
      <c r="D70" s="82"/>
      <c r="E70" s="82"/>
      <c r="F70" s="82"/>
      <c r="I70" s="82"/>
      <c r="J70" s="82"/>
      <c r="K70" s="82"/>
      <c r="L70" s="82"/>
      <c r="M70" s="82"/>
      <c r="N70" s="82"/>
    </row>
    <row r="71" spans="1:14" ht="15" hidden="1">
      <c r="A71" s="72" t="s">
        <v>415</v>
      </c>
      <c r="B71" s="78">
        <v>0</v>
      </c>
      <c r="C71" s="78">
        <v>0</v>
      </c>
      <c r="D71" s="78">
        <v>0</v>
      </c>
      <c r="E71" s="78">
        <v>0</v>
      </c>
      <c r="F71" s="79">
        <f>B71*C71*E71</f>
        <v>0</v>
      </c>
      <c r="I71" s="72" t="str">
        <f t="shared" ref="I71:J71" si="18">A71</f>
        <v>450MM TK RAFT</v>
      </c>
      <c r="J71" s="78">
        <f t="shared" si="18"/>
        <v>0</v>
      </c>
      <c r="K71" s="78"/>
      <c r="L71" s="78">
        <f t="shared" ref="L71:M71" si="19">C71</f>
        <v>0</v>
      </c>
      <c r="M71" s="78">
        <f t="shared" si="19"/>
        <v>0</v>
      </c>
      <c r="N71" s="79">
        <f>L71*J71</f>
        <v>0</v>
      </c>
    </row>
    <row r="72" spans="1:14" ht="15.75" hidden="1" thickBot="1">
      <c r="A72" s="76"/>
      <c r="B72" s="80"/>
      <c r="C72" s="80"/>
      <c r="D72" s="80"/>
      <c r="E72" s="80"/>
      <c r="F72" s="81"/>
      <c r="I72" s="80"/>
      <c r="J72" s="80"/>
      <c r="K72" s="80"/>
      <c r="L72" s="80"/>
      <c r="M72" s="80"/>
      <c r="N72" s="80"/>
    </row>
    <row r="73" spans="1:14" ht="13.5" hidden="1" thickBot="1">
      <c r="A73" s="921" t="s">
        <v>393</v>
      </c>
      <c r="B73" s="924"/>
      <c r="C73" s="924"/>
      <c r="D73" s="924"/>
      <c r="E73" s="925"/>
      <c r="F73" s="111">
        <f>SUM(F70:F72)</f>
        <v>0</v>
      </c>
      <c r="I73" s="921" t="s">
        <v>393</v>
      </c>
      <c r="J73" s="924"/>
      <c r="K73" s="924"/>
      <c r="L73" s="924"/>
      <c r="M73" s="925"/>
      <c r="N73" s="111">
        <f>SUM(N70:N72)</f>
        <v>0</v>
      </c>
    </row>
    <row r="74" spans="1:14" hidden="1"/>
    <row r="75" spans="1:14" hidden="1"/>
    <row r="76" spans="1:14" ht="15.75" hidden="1" thickBot="1">
      <c r="A76" s="335" t="s">
        <v>62</v>
      </c>
      <c r="B76" s="92">
        <f>F82</f>
        <v>0</v>
      </c>
      <c r="C76" s="95" t="s">
        <v>66</v>
      </c>
    </row>
    <row r="77" spans="1:14" hidden="1"/>
    <row r="78" spans="1:14" ht="13.5" hidden="1" thickBot="1">
      <c r="A78" s="329" t="s">
        <v>382</v>
      </c>
      <c r="B78" s="330" t="s">
        <v>291</v>
      </c>
      <c r="C78" s="331" t="s">
        <v>383</v>
      </c>
      <c r="D78" s="331" t="s">
        <v>384</v>
      </c>
      <c r="E78" s="331" t="s">
        <v>385</v>
      </c>
      <c r="F78" s="332" t="s">
        <v>386</v>
      </c>
      <c r="G78" s="318"/>
    </row>
    <row r="79" spans="1:14" hidden="1">
      <c r="A79" s="82"/>
      <c r="B79" s="82"/>
      <c r="C79" s="82"/>
      <c r="D79" s="82"/>
      <c r="E79" s="82"/>
      <c r="F79" s="82"/>
      <c r="G79" s="74"/>
    </row>
    <row r="80" spans="1:14" ht="15" hidden="1">
      <c r="A80" s="72" t="str">
        <f>A71</f>
        <v>450MM TK RAFT</v>
      </c>
      <c r="B80" s="78">
        <f>B71</f>
        <v>0</v>
      </c>
      <c r="C80" s="78">
        <f>C71</f>
        <v>0</v>
      </c>
      <c r="D80" s="78">
        <f>D71</f>
        <v>0</v>
      </c>
      <c r="E80" s="78">
        <v>0.05</v>
      </c>
      <c r="F80" s="79">
        <f>B80*C80*E80</f>
        <v>0</v>
      </c>
      <c r="G80" s="74"/>
    </row>
    <row r="81" spans="1:13" ht="15" hidden="1">
      <c r="A81" s="72"/>
      <c r="B81" s="78"/>
      <c r="C81" s="78"/>
      <c r="D81" s="78"/>
      <c r="E81" s="78"/>
      <c r="F81" s="79"/>
      <c r="G81" s="74"/>
    </row>
    <row r="82" spans="1:13" ht="13.5" hidden="1" thickBot="1">
      <c r="A82" s="921" t="s">
        <v>393</v>
      </c>
      <c r="B82" s="924"/>
      <c r="C82" s="924"/>
      <c r="D82" s="924"/>
      <c r="E82" s="925"/>
      <c r="F82" s="111">
        <f>SUM(F79:F81)</f>
        <v>0</v>
      </c>
      <c r="G82" s="74"/>
    </row>
    <row r="83" spans="1:13" hidden="1"/>
    <row r="84" spans="1:13" hidden="1"/>
    <row r="85" spans="1:13" ht="15.75" hidden="1" thickBot="1">
      <c r="A85" s="328" t="s">
        <v>400</v>
      </c>
      <c r="B85" s="97"/>
      <c r="C85" s="98"/>
      <c r="H85" s="926"/>
      <c r="I85" s="926"/>
    </row>
    <row r="86" spans="1:13" ht="15.75" hidden="1" thickBot="1">
      <c r="A86" s="328" t="s">
        <v>416</v>
      </c>
      <c r="B86" s="92">
        <f>F92</f>
        <v>0</v>
      </c>
      <c r="C86" s="95" t="s">
        <v>66</v>
      </c>
      <c r="H86" s="274"/>
      <c r="I86" s="319"/>
      <c r="J86" s="320"/>
      <c r="K86" s="320"/>
    </row>
    <row r="87" spans="1:13" hidden="1"/>
    <row r="88" spans="1:13" ht="13.5" hidden="1" thickBot="1">
      <c r="A88" s="329" t="s">
        <v>382</v>
      </c>
      <c r="B88" s="330" t="s">
        <v>291</v>
      </c>
      <c r="C88" s="331" t="s">
        <v>383</v>
      </c>
      <c r="D88" s="331" t="s">
        <v>384</v>
      </c>
      <c r="E88" s="331" t="s">
        <v>385</v>
      </c>
      <c r="F88" s="332" t="s">
        <v>386</v>
      </c>
      <c r="H88" s="105"/>
      <c r="I88" s="321"/>
      <c r="J88" s="105"/>
      <c r="K88" s="321"/>
      <c r="L88" s="321"/>
      <c r="M88" s="321"/>
    </row>
    <row r="89" spans="1:13" hidden="1">
      <c r="A89" s="82"/>
      <c r="B89" s="82"/>
      <c r="C89" s="82"/>
      <c r="D89" s="82"/>
      <c r="E89" s="82"/>
      <c r="F89" s="82"/>
    </row>
    <row r="90" spans="1:13" ht="15" hidden="1">
      <c r="A90" s="72" t="str">
        <f>A80</f>
        <v>450MM TK RAFT</v>
      </c>
      <c r="B90" s="78">
        <f>B80</f>
        <v>0</v>
      </c>
      <c r="C90" s="78">
        <f>C71</f>
        <v>0</v>
      </c>
      <c r="D90" s="78">
        <f>D71</f>
        <v>0</v>
      </c>
      <c r="E90" s="78">
        <v>0.45</v>
      </c>
      <c r="F90" s="79">
        <f>B90*C90*E90</f>
        <v>0</v>
      </c>
      <c r="H90" s="223"/>
      <c r="M90" s="102"/>
    </row>
    <row r="91" spans="1:13" ht="15" hidden="1">
      <c r="A91" s="72"/>
      <c r="B91" s="78"/>
      <c r="C91" s="78"/>
      <c r="D91" s="78"/>
      <c r="E91" s="78"/>
      <c r="F91" s="79"/>
      <c r="H91" s="223"/>
      <c r="M91" s="102"/>
    </row>
    <row r="92" spans="1:13" ht="13.5" hidden="1" thickBot="1">
      <c r="A92" s="921" t="s">
        <v>393</v>
      </c>
      <c r="B92" s="924"/>
      <c r="C92" s="924"/>
      <c r="D92" s="924"/>
      <c r="E92" s="925"/>
      <c r="F92" s="111">
        <f>SUM(F89:F91)</f>
        <v>0</v>
      </c>
      <c r="H92" s="943"/>
      <c r="I92" s="943"/>
      <c r="J92" s="943"/>
      <c r="K92" s="943"/>
      <c r="L92" s="943"/>
      <c r="M92" s="101"/>
    </row>
    <row r="93" spans="1:13" hidden="1">
      <c r="A93" s="134"/>
      <c r="B93" s="135"/>
      <c r="C93" s="135"/>
      <c r="D93" s="135"/>
      <c r="E93" s="135"/>
      <c r="F93" s="101"/>
      <c r="H93" s="134"/>
      <c r="I93" s="134"/>
      <c r="J93" s="134"/>
      <c r="K93" s="134"/>
      <c r="L93" s="134"/>
      <c r="M93" s="101"/>
    </row>
    <row r="94" spans="1:13" hidden="1">
      <c r="A94" s="134"/>
      <c r="B94" s="135"/>
      <c r="C94" s="135"/>
      <c r="D94" s="135"/>
      <c r="E94" s="135"/>
      <c r="F94" s="101"/>
      <c r="H94" s="134"/>
      <c r="I94" s="134"/>
      <c r="J94" s="134"/>
      <c r="K94" s="134"/>
      <c r="L94" s="134"/>
      <c r="M94" s="101"/>
    </row>
    <row r="95" spans="1:13" ht="15.75" hidden="1" thickBot="1">
      <c r="A95" s="328" t="s">
        <v>417</v>
      </c>
      <c r="B95" s="92">
        <f>F100</f>
        <v>0</v>
      </c>
      <c r="C95" s="95" t="s">
        <v>66</v>
      </c>
      <c r="H95" s="328" t="str">
        <f>A95</f>
        <v>FB</v>
      </c>
      <c r="I95" s="117">
        <f>M100</f>
        <v>0</v>
      </c>
      <c r="J95" s="118" t="s">
        <v>84</v>
      </c>
      <c r="K95" s="210"/>
    </row>
    <row r="96" spans="1:13" hidden="1">
      <c r="A96" s="134"/>
      <c r="B96" s="135"/>
      <c r="C96" s="135"/>
      <c r="D96" s="135"/>
      <c r="E96" s="135"/>
      <c r="F96" s="101"/>
      <c r="H96" s="134"/>
      <c r="I96" s="134"/>
      <c r="J96" s="134"/>
      <c r="K96" s="134"/>
      <c r="L96" s="134"/>
      <c r="M96" s="101"/>
    </row>
    <row r="97" spans="1:22" ht="13.5" hidden="1" thickBot="1">
      <c r="A97" s="329" t="s">
        <v>382</v>
      </c>
      <c r="B97" s="330" t="s">
        <v>291</v>
      </c>
      <c r="C97" s="330" t="s">
        <v>414</v>
      </c>
      <c r="D97" s="331" t="s">
        <v>384</v>
      </c>
      <c r="E97" s="331" t="s">
        <v>385</v>
      </c>
      <c r="F97" s="332" t="s">
        <v>386</v>
      </c>
      <c r="H97" s="329" t="s">
        <v>382</v>
      </c>
      <c r="I97" s="330" t="s">
        <v>291</v>
      </c>
      <c r="J97" s="331" t="s">
        <v>383</v>
      </c>
      <c r="K97" s="330" t="s">
        <v>407</v>
      </c>
      <c r="L97" s="330" t="s">
        <v>385</v>
      </c>
      <c r="M97" s="334" t="s">
        <v>408</v>
      </c>
      <c r="O97" s="932" t="s">
        <v>418</v>
      </c>
      <c r="P97" s="933"/>
      <c r="Q97" s="934"/>
    </row>
    <row r="98" spans="1:22" ht="15" hidden="1">
      <c r="A98" s="136" t="s">
        <v>419</v>
      </c>
      <c r="B98" s="78">
        <v>0</v>
      </c>
      <c r="C98" s="78">
        <v>0</v>
      </c>
      <c r="D98" s="78">
        <v>0</v>
      </c>
      <c r="E98" s="78">
        <v>0.55000000000000004</v>
      </c>
      <c r="F98" s="602">
        <f>E98*C98*B98</f>
        <v>0</v>
      </c>
      <c r="H98" s="72" t="str">
        <f>A98</f>
        <v>FB1-FB4</v>
      </c>
      <c r="I98" s="78">
        <f>B98</f>
        <v>0</v>
      </c>
      <c r="J98" s="78">
        <f>Q103</f>
        <v>0</v>
      </c>
      <c r="K98" s="78"/>
      <c r="L98" s="78">
        <f>E98</f>
        <v>0.55000000000000004</v>
      </c>
      <c r="M98" s="602">
        <f>I98*J98*L98</f>
        <v>0</v>
      </c>
      <c r="O98" s="935"/>
      <c r="P98" s="936"/>
      <c r="Q98" s="937"/>
    </row>
    <row r="99" spans="1:22" ht="15" hidden="1">
      <c r="A99" s="72"/>
      <c r="B99" s="78"/>
      <c r="C99" s="78"/>
      <c r="D99" s="78"/>
      <c r="E99" s="78"/>
      <c r="F99" s="79"/>
      <c r="H99" s="72"/>
      <c r="I99" s="78"/>
      <c r="J99" s="78"/>
      <c r="K99" s="78"/>
      <c r="L99" s="78"/>
      <c r="M99" s="79"/>
      <c r="O99" s="935"/>
      <c r="P99" s="936"/>
      <c r="Q99" s="937"/>
    </row>
    <row r="100" spans="1:22" ht="13.5" hidden="1" thickBot="1">
      <c r="A100" s="921" t="s">
        <v>393</v>
      </c>
      <c r="B100" s="924"/>
      <c r="C100" s="924"/>
      <c r="D100" s="924"/>
      <c r="E100" s="925"/>
      <c r="F100" s="111">
        <f>SUM(F98:F99)</f>
        <v>0</v>
      </c>
      <c r="H100" s="921" t="s">
        <v>393</v>
      </c>
      <c r="I100" s="924"/>
      <c r="J100" s="924"/>
      <c r="K100" s="924"/>
      <c r="L100" s="925"/>
      <c r="M100" s="111">
        <f>SUM(M98:M98)</f>
        <v>0</v>
      </c>
      <c r="O100" s="938"/>
      <c r="P100" s="939"/>
      <c r="Q100" s="940"/>
    </row>
    <row r="101" spans="1:22" hidden="1"/>
    <row r="102" spans="1:22" hidden="1">
      <c r="A102" s="336" t="s">
        <v>420</v>
      </c>
    </row>
    <row r="103" spans="1:22" hidden="1">
      <c r="A103" s="103" t="str">
        <f>A98</f>
        <v>FB1-FB4</v>
      </c>
      <c r="B103" s="100">
        <v>0</v>
      </c>
      <c r="C103" s="100">
        <v>0</v>
      </c>
      <c r="D103" s="100">
        <v>0</v>
      </c>
      <c r="E103" s="100">
        <v>0</v>
      </c>
      <c r="F103" s="100">
        <v>0</v>
      </c>
      <c r="G103" s="100">
        <v>0</v>
      </c>
      <c r="H103" s="100">
        <v>0</v>
      </c>
      <c r="I103" s="100">
        <v>0</v>
      </c>
      <c r="J103" s="100">
        <v>0</v>
      </c>
      <c r="K103" s="100"/>
      <c r="L103" s="100">
        <v>0</v>
      </c>
      <c r="M103" s="100">
        <v>0</v>
      </c>
      <c r="N103" s="100">
        <v>0</v>
      </c>
      <c r="O103" s="100">
        <v>0</v>
      </c>
      <c r="P103" s="100">
        <v>0</v>
      </c>
      <c r="Q103" s="114">
        <f>SUM(F103:P103)</f>
        <v>0</v>
      </c>
      <c r="U103" s="101"/>
      <c r="V103" s="101"/>
    </row>
    <row r="104" spans="1:22" ht="15">
      <c r="N104" s="102"/>
    </row>
    <row r="105" spans="1:22" ht="15.75" thickBot="1">
      <c r="N105" s="102"/>
    </row>
    <row r="106" spans="1:22" ht="15.75" thickBot="1">
      <c r="A106" s="328" t="s">
        <v>421</v>
      </c>
      <c r="B106" s="469">
        <f>F114</f>
        <v>4.9174999999999986</v>
      </c>
      <c r="C106" s="95" t="s">
        <v>66</v>
      </c>
      <c r="D106" s="450" t="s">
        <v>385</v>
      </c>
      <c r="E106" s="459">
        <v>1.75</v>
      </c>
      <c r="F106" s="121" t="s">
        <v>422</v>
      </c>
      <c r="H106" s="328" t="s">
        <v>421</v>
      </c>
      <c r="I106" s="469">
        <f>M114</f>
        <v>57.4</v>
      </c>
      <c r="J106" s="122" t="s">
        <v>84</v>
      </c>
      <c r="K106" s="122"/>
      <c r="L106" s="458" t="str">
        <f>D106</f>
        <v>Depth</v>
      </c>
      <c r="M106" s="460">
        <f>E106</f>
        <v>1.75</v>
      </c>
      <c r="N106" s="121" t="s">
        <v>422</v>
      </c>
      <c r="P106" s="328" t="s">
        <v>421</v>
      </c>
      <c r="Q106" s="469">
        <f>T114</f>
        <v>57.4</v>
      </c>
      <c r="R106" s="122" t="s">
        <v>84</v>
      </c>
      <c r="S106" s="944" t="s">
        <v>402</v>
      </c>
      <c r="T106" s="945"/>
      <c r="U106" s="106"/>
      <c r="V106" s="575"/>
    </row>
    <row r="107" spans="1:22" ht="13.5" thickBot="1"/>
    <row r="108" spans="1:22" ht="13.5" thickBot="1">
      <c r="A108" s="329" t="s">
        <v>382</v>
      </c>
      <c r="B108" s="331" t="s">
        <v>291</v>
      </c>
      <c r="C108" s="331" t="s">
        <v>383</v>
      </c>
      <c r="D108" s="331" t="s">
        <v>384</v>
      </c>
      <c r="E108" s="331" t="s">
        <v>385</v>
      </c>
      <c r="F108" s="332" t="s">
        <v>386</v>
      </c>
      <c r="H108" s="329" t="s">
        <v>382</v>
      </c>
      <c r="I108" s="331" t="s">
        <v>291</v>
      </c>
      <c r="J108" s="330" t="s">
        <v>410</v>
      </c>
      <c r="K108" s="331"/>
      <c r="L108" s="330" t="s">
        <v>385</v>
      </c>
      <c r="M108" s="334" t="s">
        <v>408</v>
      </c>
      <c r="P108" s="329" t="s">
        <v>382</v>
      </c>
      <c r="Q108" s="331" t="s">
        <v>291</v>
      </c>
      <c r="R108" s="330" t="s">
        <v>410</v>
      </c>
      <c r="S108" s="330" t="s">
        <v>385</v>
      </c>
      <c r="T108" s="334" t="s">
        <v>408</v>
      </c>
      <c r="U108" s="577"/>
    </row>
    <row r="109" spans="1:22">
      <c r="A109" s="82"/>
      <c r="B109" s="82"/>
      <c r="C109" s="82"/>
      <c r="D109" s="82"/>
      <c r="E109" s="82"/>
      <c r="F109" s="82"/>
      <c r="H109" s="82"/>
      <c r="I109" s="82"/>
      <c r="J109" s="82"/>
      <c r="K109" s="82"/>
      <c r="L109" s="82"/>
      <c r="M109" s="82"/>
      <c r="P109" s="82"/>
      <c r="Q109" s="82"/>
      <c r="R109" s="82"/>
      <c r="S109" s="82"/>
      <c r="T109" s="82"/>
      <c r="U109" s="74"/>
    </row>
    <row r="110" spans="1:22" ht="15">
      <c r="A110" s="123" t="s">
        <v>423</v>
      </c>
      <c r="B110" s="78">
        <v>8</v>
      </c>
      <c r="C110" s="78">
        <v>0.35</v>
      </c>
      <c r="D110" s="78">
        <v>0.35</v>
      </c>
      <c r="E110" s="78">
        <f>E106</f>
        <v>1.75</v>
      </c>
      <c r="F110" s="79">
        <f>E110*D110*C110*B110</f>
        <v>1.7149999999999996</v>
      </c>
      <c r="H110" s="123" t="str">
        <f t="shared" ref="H110:I112" si="20">A110</f>
        <v>C1</v>
      </c>
      <c r="I110" s="78">
        <f t="shared" si="20"/>
        <v>8</v>
      </c>
      <c r="J110" s="78">
        <f t="shared" ref="J110:J112" si="21">2*(C110+D110)</f>
        <v>1.4</v>
      </c>
      <c r="K110" s="78"/>
      <c r="L110" s="78">
        <f>M106</f>
        <v>1.75</v>
      </c>
      <c r="M110" s="79">
        <f>L110*J110*I110</f>
        <v>19.599999999999998</v>
      </c>
      <c r="P110" s="123" t="str">
        <f t="shared" ref="P110:R112" si="22">H110</f>
        <v>C1</v>
      </c>
      <c r="Q110" s="78">
        <f t="shared" si="22"/>
        <v>8</v>
      </c>
      <c r="R110" s="78">
        <f t="shared" si="22"/>
        <v>1.4</v>
      </c>
      <c r="S110" s="78">
        <f>L110</f>
        <v>1.75</v>
      </c>
      <c r="T110" s="79">
        <f>S110*R110*Q110</f>
        <v>19.599999999999998</v>
      </c>
      <c r="U110" s="576"/>
    </row>
    <row r="111" spans="1:22" ht="15">
      <c r="A111" s="123" t="s">
        <v>424</v>
      </c>
      <c r="B111" s="78">
        <v>12</v>
      </c>
      <c r="C111" s="78">
        <v>0.35</v>
      </c>
      <c r="D111" s="78">
        <v>0.35</v>
      </c>
      <c r="E111" s="78">
        <f>E106</f>
        <v>1.75</v>
      </c>
      <c r="F111" s="79">
        <f>E111*D111*C111*B111</f>
        <v>2.5724999999999993</v>
      </c>
      <c r="H111" s="123" t="str">
        <f t="shared" si="20"/>
        <v>C2</v>
      </c>
      <c r="I111" s="78">
        <f t="shared" si="20"/>
        <v>12</v>
      </c>
      <c r="J111" s="78">
        <f t="shared" si="21"/>
        <v>1.4</v>
      </c>
      <c r="K111" s="78"/>
      <c r="L111" s="78">
        <f>M106</f>
        <v>1.75</v>
      </c>
      <c r="M111" s="79">
        <f>L111*J111*I111</f>
        <v>29.4</v>
      </c>
      <c r="P111" s="123" t="str">
        <f t="shared" si="22"/>
        <v>C2</v>
      </c>
      <c r="Q111" s="78">
        <f t="shared" si="22"/>
        <v>12</v>
      </c>
      <c r="R111" s="78">
        <f t="shared" si="22"/>
        <v>1.4</v>
      </c>
      <c r="S111" s="78">
        <f>L111</f>
        <v>1.75</v>
      </c>
      <c r="T111" s="79">
        <f>S111*R111*Q111</f>
        <v>29.4</v>
      </c>
      <c r="U111" s="576"/>
    </row>
    <row r="112" spans="1:22" ht="15">
      <c r="A112" s="123" t="s">
        <v>425</v>
      </c>
      <c r="B112" s="78">
        <v>4</v>
      </c>
      <c r="C112" s="78">
        <v>0.3</v>
      </c>
      <c r="D112" s="78">
        <v>0.3</v>
      </c>
      <c r="E112" s="78">
        <f>E106</f>
        <v>1.75</v>
      </c>
      <c r="F112" s="79">
        <f>E112*D112*C112*B112</f>
        <v>0.63</v>
      </c>
      <c r="H112" s="123" t="str">
        <f t="shared" si="20"/>
        <v>C3</v>
      </c>
      <c r="I112" s="78">
        <f t="shared" si="20"/>
        <v>4</v>
      </c>
      <c r="J112" s="78">
        <f t="shared" si="21"/>
        <v>1.2</v>
      </c>
      <c r="K112" s="78"/>
      <c r="L112" s="78">
        <f>M106</f>
        <v>1.75</v>
      </c>
      <c r="M112" s="79">
        <f>L112*J112*I112</f>
        <v>8.4</v>
      </c>
      <c r="P112" s="123" t="str">
        <f t="shared" si="22"/>
        <v>C3</v>
      </c>
      <c r="Q112" s="78">
        <f t="shared" si="22"/>
        <v>4</v>
      </c>
      <c r="R112" s="78">
        <f t="shared" si="22"/>
        <v>1.2</v>
      </c>
      <c r="S112" s="78">
        <f>L112</f>
        <v>1.75</v>
      </c>
      <c r="T112" s="79">
        <f>S112*R112*Q112</f>
        <v>8.4</v>
      </c>
      <c r="U112" s="576"/>
    </row>
    <row r="113" spans="1:21" ht="15.75" thickBot="1">
      <c r="A113" s="123"/>
      <c r="B113" s="78"/>
      <c r="C113" s="78"/>
      <c r="D113" s="78"/>
      <c r="E113" s="78"/>
      <c r="F113" s="79"/>
      <c r="H113" s="124"/>
      <c r="I113" s="80"/>
      <c r="J113" s="80"/>
      <c r="K113" s="80"/>
      <c r="L113" s="80"/>
      <c r="M113" s="81"/>
      <c r="P113" s="124"/>
      <c r="Q113" s="80"/>
      <c r="R113" s="80"/>
      <c r="S113" s="80"/>
      <c r="T113" s="81"/>
      <c r="U113" s="576"/>
    </row>
    <row r="114" spans="1:21" ht="13.5" thickBot="1">
      <c r="A114" s="921" t="s">
        <v>393</v>
      </c>
      <c r="B114" s="922"/>
      <c r="C114" s="922"/>
      <c r="D114" s="922"/>
      <c r="E114" s="923"/>
      <c r="F114" s="111">
        <f>SUM(F109:F113)</f>
        <v>4.9174999999999986</v>
      </c>
      <c r="H114" s="921" t="s">
        <v>393</v>
      </c>
      <c r="I114" s="922"/>
      <c r="J114" s="922"/>
      <c r="K114" s="922"/>
      <c r="L114" s="923"/>
      <c r="M114" s="111">
        <f>SUM(M109:M113)</f>
        <v>57.4</v>
      </c>
      <c r="P114" s="921" t="s">
        <v>393</v>
      </c>
      <c r="Q114" s="924"/>
      <c r="R114" s="924"/>
      <c r="S114" s="925"/>
      <c r="T114" s="111">
        <f>SUM(T109:T113)</f>
        <v>57.4</v>
      </c>
      <c r="U114" s="260"/>
    </row>
    <row r="115" spans="1:21" ht="15.75" thickBot="1">
      <c r="A115" s="102"/>
    </row>
    <row r="116" spans="1:21" ht="15.75" thickBot="1">
      <c r="A116" s="328" t="s">
        <v>426</v>
      </c>
      <c r="B116" s="469">
        <f>F122</f>
        <v>0.68250000000000011</v>
      </c>
      <c r="C116" s="95" t="s">
        <v>66</v>
      </c>
      <c r="D116" s="450" t="s">
        <v>385</v>
      </c>
      <c r="E116" s="459">
        <v>1.75</v>
      </c>
      <c r="F116" s="121" t="s">
        <v>422</v>
      </c>
      <c r="H116" s="328" t="str">
        <f>A116</f>
        <v>STARTER</v>
      </c>
      <c r="I116" s="469">
        <f>M122</f>
        <v>5.6000000000000005</v>
      </c>
      <c r="J116" s="122" t="s">
        <v>84</v>
      </c>
      <c r="K116" s="122"/>
      <c r="L116" s="458" t="str">
        <f>D116</f>
        <v>Depth</v>
      </c>
      <c r="M116" s="460">
        <f>E116</f>
        <v>1.75</v>
      </c>
      <c r="N116" s="121" t="s">
        <v>422</v>
      </c>
    </row>
    <row r="117" spans="1:21" ht="13.5" thickBot="1"/>
    <row r="118" spans="1:21" ht="13.5" thickBot="1">
      <c r="A118" s="329" t="s">
        <v>382</v>
      </c>
      <c r="B118" s="331" t="s">
        <v>291</v>
      </c>
      <c r="C118" s="331" t="s">
        <v>383</v>
      </c>
      <c r="D118" s="331" t="s">
        <v>384</v>
      </c>
      <c r="E118" s="331" t="s">
        <v>385</v>
      </c>
      <c r="F118" s="332" t="s">
        <v>386</v>
      </c>
      <c r="H118" s="329" t="s">
        <v>382</v>
      </c>
      <c r="I118" s="331" t="s">
        <v>291</v>
      </c>
      <c r="J118" s="331" t="s">
        <v>383</v>
      </c>
      <c r="K118" s="331"/>
      <c r="L118" s="330" t="s">
        <v>385</v>
      </c>
      <c r="M118" s="334" t="s">
        <v>408</v>
      </c>
    </row>
    <row r="119" spans="1:21">
      <c r="A119" s="82"/>
      <c r="B119" s="82"/>
      <c r="C119" s="82"/>
      <c r="D119" s="82"/>
      <c r="E119" s="82"/>
      <c r="F119" s="82"/>
      <c r="H119" s="82"/>
      <c r="I119" s="82"/>
      <c r="J119" s="82"/>
      <c r="K119" s="82"/>
      <c r="L119" s="82"/>
      <c r="M119" s="82"/>
    </row>
    <row r="120" spans="1:21" ht="15">
      <c r="A120" s="136" t="s">
        <v>427</v>
      </c>
      <c r="B120" s="78">
        <v>1</v>
      </c>
      <c r="C120" s="78">
        <v>1.3</v>
      </c>
      <c r="D120" s="78">
        <v>0.3</v>
      </c>
      <c r="E120" s="78">
        <f>E116</f>
        <v>1.75</v>
      </c>
      <c r="F120" s="79">
        <f>E120*D120*C120*B120</f>
        <v>0.68250000000000011</v>
      </c>
      <c r="H120" s="123" t="str">
        <f t="shared" ref="H120:I120" si="23">A120</f>
        <v>300mm tk Starter</v>
      </c>
      <c r="I120" s="78">
        <f t="shared" si="23"/>
        <v>1</v>
      </c>
      <c r="J120" s="78">
        <f t="shared" ref="J120" si="24">2*(C120+D120)</f>
        <v>3.2</v>
      </c>
      <c r="K120" s="78"/>
      <c r="L120" s="78">
        <f>M116</f>
        <v>1.75</v>
      </c>
      <c r="M120" s="79">
        <f>L120*J120*I120</f>
        <v>5.6000000000000005</v>
      </c>
    </row>
    <row r="121" spans="1:21" ht="15.75" thickBot="1">
      <c r="A121" s="123"/>
      <c r="B121" s="78"/>
      <c r="C121" s="78"/>
      <c r="D121" s="78"/>
      <c r="E121" s="78"/>
      <c r="F121" s="79"/>
      <c r="H121" s="124"/>
      <c r="I121" s="80"/>
      <c r="J121" s="80"/>
      <c r="K121" s="80"/>
      <c r="L121" s="80"/>
      <c r="M121" s="81"/>
    </row>
    <row r="122" spans="1:21" ht="13.5" thickBot="1">
      <c r="A122" s="921" t="s">
        <v>393</v>
      </c>
      <c r="B122" s="922"/>
      <c r="C122" s="922"/>
      <c r="D122" s="922"/>
      <c r="E122" s="923"/>
      <c r="F122" s="111">
        <f>SUM(F119:F121)</f>
        <v>0.68250000000000011</v>
      </c>
      <c r="H122" s="921" t="s">
        <v>393</v>
      </c>
      <c r="I122" s="922"/>
      <c r="J122" s="922"/>
      <c r="K122" s="922"/>
      <c r="L122" s="923"/>
      <c r="M122" s="111">
        <f>SUM(M119:M121)</f>
        <v>5.6000000000000005</v>
      </c>
    </row>
    <row r="123" spans="1:21" ht="15.75" thickBot="1">
      <c r="A123" s="102"/>
    </row>
    <row r="124" spans="1:21" ht="15.75" thickBot="1">
      <c r="A124" s="328" t="s">
        <v>428</v>
      </c>
      <c r="B124" s="469">
        <f>B4-F131</f>
        <v>77.059020000000004</v>
      </c>
      <c r="C124" s="95" t="s">
        <v>66</v>
      </c>
      <c r="P124" s="581"/>
      <c r="Q124" s="582"/>
      <c r="R124" s="583"/>
      <c r="S124" s="946"/>
      <c r="T124" s="946"/>
    </row>
    <row r="125" spans="1:21" ht="15.75" thickBot="1">
      <c r="A125" s="102"/>
      <c r="P125" s="584"/>
      <c r="Q125" s="584"/>
      <c r="R125" s="584"/>
      <c r="S125" s="584"/>
      <c r="T125" s="584"/>
    </row>
    <row r="126" spans="1:21" ht="13.5" thickBot="1">
      <c r="A126" s="329" t="s">
        <v>382</v>
      </c>
      <c r="B126" s="331" t="s">
        <v>291</v>
      </c>
      <c r="C126" s="331" t="s">
        <v>383</v>
      </c>
      <c r="D126" s="331" t="s">
        <v>384</v>
      </c>
      <c r="E126" s="331" t="s">
        <v>385</v>
      </c>
      <c r="F126" s="332" t="s">
        <v>386</v>
      </c>
      <c r="P126" s="585"/>
      <c r="Q126" s="585"/>
      <c r="R126" s="585"/>
      <c r="S126" s="585"/>
      <c r="T126" s="585"/>
    </row>
    <row r="127" spans="1:21">
      <c r="A127" s="82"/>
      <c r="B127" s="82"/>
      <c r="C127" s="82"/>
      <c r="D127" s="82"/>
      <c r="E127" s="82"/>
      <c r="F127" s="82"/>
      <c r="P127" s="584"/>
      <c r="Q127" s="584"/>
      <c r="R127" s="584"/>
      <c r="S127" s="584"/>
      <c r="T127" s="584"/>
    </row>
    <row r="128" spans="1:21" ht="15">
      <c r="A128" s="136" t="s">
        <v>429</v>
      </c>
      <c r="B128" s="78">
        <v>1</v>
      </c>
      <c r="C128" s="78">
        <v>0</v>
      </c>
      <c r="D128" s="78">
        <v>0</v>
      </c>
      <c r="E128" s="78">
        <v>0</v>
      </c>
      <c r="F128" s="79">
        <f>B41</f>
        <v>32.788000000000004</v>
      </c>
      <c r="P128" s="941"/>
      <c r="Q128" s="941"/>
      <c r="R128" s="941"/>
      <c r="S128" s="941"/>
      <c r="T128" s="586"/>
    </row>
    <row r="129" spans="1:20" ht="15">
      <c r="A129" s="136" t="s">
        <v>430</v>
      </c>
      <c r="B129" s="78">
        <v>1</v>
      </c>
      <c r="C129" s="78">
        <v>0</v>
      </c>
      <c r="D129" s="78">
        <v>0</v>
      </c>
      <c r="E129" s="78">
        <v>0</v>
      </c>
      <c r="F129" s="79">
        <f>B42</f>
        <v>0</v>
      </c>
    </row>
    <row r="130" spans="1:20" ht="15.75" thickBot="1">
      <c r="A130" s="136" t="s">
        <v>73</v>
      </c>
      <c r="B130" s="78">
        <v>1</v>
      </c>
      <c r="C130" s="78">
        <v>0</v>
      </c>
      <c r="D130" s="78">
        <v>0</v>
      </c>
      <c r="E130" s="78">
        <v>0</v>
      </c>
      <c r="F130" s="79">
        <f>B106</f>
        <v>4.9174999999999986</v>
      </c>
    </row>
    <row r="131" spans="1:20" ht="13.5" thickBot="1">
      <c r="A131" s="921" t="s">
        <v>393</v>
      </c>
      <c r="B131" s="922"/>
      <c r="C131" s="922"/>
      <c r="D131" s="922"/>
      <c r="E131" s="923"/>
      <c r="F131" s="111">
        <f>SUM(F128:F130)</f>
        <v>37.705500000000001</v>
      </c>
    </row>
    <row r="132" spans="1:20" ht="15">
      <c r="A132" s="136"/>
      <c r="B132" s="78"/>
      <c r="C132" s="78"/>
      <c r="D132" s="78"/>
      <c r="E132" s="78"/>
      <c r="F132" s="79"/>
    </row>
    <row r="133" spans="1:20" ht="15">
      <c r="A133" s="136" t="s">
        <v>431</v>
      </c>
      <c r="B133" s="78">
        <v>0</v>
      </c>
      <c r="C133" s="78">
        <v>0</v>
      </c>
      <c r="D133" s="78">
        <v>0</v>
      </c>
      <c r="E133" s="78">
        <v>0</v>
      </c>
      <c r="F133" s="79">
        <f>B133*C133*E133</f>
        <v>0</v>
      </c>
    </row>
    <row r="134" spans="1:20" ht="15.75" thickBot="1">
      <c r="A134" s="123"/>
      <c r="B134" s="78"/>
      <c r="C134" s="78"/>
      <c r="D134" s="78"/>
      <c r="E134" s="78"/>
      <c r="F134" s="79"/>
    </row>
    <row r="135" spans="1:20" ht="13.5" thickBot="1">
      <c r="A135" s="921" t="s">
        <v>393</v>
      </c>
      <c r="B135" s="922"/>
      <c r="C135" s="922"/>
      <c r="D135" s="922"/>
      <c r="E135" s="923"/>
      <c r="F135" s="111">
        <f>F133</f>
        <v>0</v>
      </c>
    </row>
    <row r="136" spans="1:20" ht="15.75" thickBot="1">
      <c r="A136" s="102"/>
    </row>
    <row r="137" spans="1:20" ht="15.75" thickBot="1">
      <c r="A137" s="328" t="s">
        <v>432</v>
      </c>
      <c r="B137" s="469">
        <f>F143</f>
        <v>55.692250000000008</v>
      </c>
      <c r="C137" s="95" t="s">
        <v>66</v>
      </c>
      <c r="P137" s="328" t="str">
        <f>A137</f>
        <v>GRADE SLAB</v>
      </c>
      <c r="Q137" s="469">
        <f>T142</f>
        <v>556.92250000000001</v>
      </c>
      <c r="R137" s="122" t="s">
        <v>84</v>
      </c>
      <c r="S137" s="944" t="s">
        <v>433</v>
      </c>
      <c r="T137" s="945"/>
    </row>
    <row r="138" spans="1:20" ht="13.5" thickBot="1"/>
    <row r="139" spans="1:20" ht="13.5" thickBot="1">
      <c r="A139" s="329" t="s">
        <v>382</v>
      </c>
      <c r="B139" s="330" t="s">
        <v>291</v>
      </c>
      <c r="C139" s="330" t="s">
        <v>383</v>
      </c>
      <c r="D139" s="331" t="s">
        <v>384</v>
      </c>
      <c r="E139" s="331" t="s">
        <v>385</v>
      </c>
      <c r="F139" s="332" t="s">
        <v>386</v>
      </c>
      <c r="P139" s="329" t="s">
        <v>382</v>
      </c>
      <c r="Q139" s="331" t="s">
        <v>291</v>
      </c>
      <c r="R139" s="331" t="s">
        <v>409</v>
      </c>
      <c r="S139" s="330" t="s">
        <v>385</v>
      </c>
      <c r="T139" s="334" t="s">
        <v>408</v>
      </c>
    </row>
    <row r="140" spans="1:20">
      <c r="A140" s="82"/>
      <c r="B140" s="82"/>
      <c r="C140" s="82"/>
      <c r="D140" s="82"/>
      <c r="E140" s="82"/>
      <c r="F140" s="82"/>
      <c r="P140" s="82"/>
      <c r="Q140" s="82"/>
      <c r="R140" s="82"/>
      <c r="S140" s="82"/>
      <c r="T140" s="82"/>
    </row>
    <row r="141" spans="1:20" ht="15.75" thickBot="1">
      <c r="A141" s="72" t="s">
        <v>434</v>
      </c>
      <c r="B141" s="78">
        <v>1</v>
      </c>
      <c r="C141" s="78">
        <v>30.35</v>
      </c>
      <c r="D141" s="78">
        <v>18.350000000000001</v>
      </c>
      <c r="E141" s="78">
        <v>0.1</v>
      </c>
      <c r="F141" s="79">
        <f>E141*D141*C141*B141</f>
        <v>55.692250000000008</v>
      </c>
      <c r="P141" s="123" t="str">
        <f>A141</f>
        <v>Grade Slab</v>
      </c>
      <c r="Q141" s="78">
        <f>B141</f>
        <v>1</v>
      </c>
      <c r="R141" s="78">
        <f>C141*D141</f>
        <v>556.92250000000001</v>
      </c>
      <c r="S141" s="78">
        <f>L141</f>
        <v>0</v>
      </c>
      <c r="T141" s="79">
        <f>R141*Q141</f>
        <v>556.92250000000001</v>
      </c>
    </row>
    <row r="142" spans="1:20" ht="15.75" thickBot="1">
      <c r="A142" s="72"/>
      <c r="B142" s="78"/>
      <c r="C142" s="78"/>
      <c r="D142" s="78"/>
      <c r="E142" s="78"/>
      <c r="F142" s="79"/>
      <c r="P142" s="921" t="s">
        <v>393</v>
      </c>
      <c r="Q142" s="924"/>
      <c r="R142" s="924"/>
      <c r="S142" s="925"/>
      <c r="T142" s="111">
        <f>SUM(T137:T141)</f>
        <v>556.92250000000001</v>
      </c>
    </row>
    <row r="143" spans="1:20" ht="13.5" thickBot="1">
      <c r="A143" s="921" t="s">
        <v>393</v>
      </c>
      <c r="B143" s="922"/>
      <c r="C143" s="922"/>
      <c r="D143" s="922"/>
      <c r="E143" s="923"/>
      <c r="F143" s="111">
        <f>F141</f>
        <v>55.692250000000008</v>
      </c>
    </row>
    <row r="144" spans="1:20" ht="15.75" thickBot="1">
      <c r="A144" s="102"/>
    </row>
    <row r="145" spans="1:26" ht="15.75" thickBot="1">
      <c r="A145" s="594" t="s">
        <v>520</v>
      </c>
      <c r="B145" s="469">
        <f>E151</f>
        <v>13.418749999999999</v>
      </c>
      <c r="C145" s="95" t="s">
        <v>66</v>
      </c>
      <c r="H145" s="328" t="str">
        <f>A145</f>
        <v>GRADE BEAMS</v>
      </c>
      <c r="I145" s="469">
        <f>L151</f>
        <v>161.02499999999998</v>
      </c>
      <c r="J145" s="95" t="s">
        <v>84</v>
      </c>
      <c r="K145" s="211"/>
    </row>
    <row r="146" spans="1:26" ht="13.5" thickBot="1"/>
    <row r="147" spans="1:26" ht="13.5" thickBot="1">
      <c r="A147" s="329" t="s">
        <v>382</v>
      </c>
      <c r="B147" s="331" t="s">
        <v>383</v>
      </c>
      <c r="C147" s="331" t="s">
        <v>384</v>
      </c>
      <c r="D147" s="331" t="s">
        <v>385</v>
      </c>
      <c r="E147" s="332" t="s">
        <v>386</v>
      </c>
      <c r="H147" s="329" t="s">
        <v>382</v>
      </c>
      <c r="I147" s="331" t="s">
        <v>383</v>
      </c>
      <c r="J147" s="331" t="s">
        <v>384</v>
      </c>
      <c r="K147" s="468"/>
      <c r="L147" s="332" t="s">
        <v>387</v>
      </c>
      <c r="O147" s="105"/>
      <c r="P147" s="954"/>
      <c r="Q147" s="954"/>
      <c r="R147" s="954"/>
    </row>
    <row r="148" spans="1:26">
      <c r="A148" s="82"/>
      <c r="B148" s="82"/>
      <c r="C148" s="82"/>
      <c r="D148" s="82"/>
      <c r="E148" s="82"/>
      <c r="H148" s="82"/>
      <c r="I148" s="82"/>
      <c r="J148" s="82"/>
      <c r="K148" s="82"/>
      <c r="L148" s="82"/>
    </row>
    <row r="149" spans="1:26" ht="15">
      <c r="A149" s="136" t="s">
        <v>521</v>
      </c>
      <c r="B149" s="78">
        <f>N154</f>
        <v>214.7</v>
      </c>
      <c r="C149" s="78">
        <v>0.25</v>
      </c>
      <c r="D149" s="78">
        <v>0.25</v>
      </c>
      <c r="E149" s="79">
        <f>D149*C149*B149</f>
        <v>13.418749999999999</v>
      </c>
      <c r="H149" s="123" t="str">
        <f t="shared" ref="H149:I149" si="25">A149</f>
        <v>GB</v>
      </c>
      <c r="I149" s="78">
        <f t="shared" si="25"/>
        <v>214.7</v>
      </c>
      <c r="J149" s="78">
        <f>C149+D149+D149</f>
        <v>0.75</v>
      </c>
      <c r="K149" s="78"/>
      <c r="L149" s="79">
        <f>J149*I149</f>
        <v>161.02499999999998</v>
      </c>
      <c r="O149" s="102"/>
    </row>
    <row r="150" spans="1:26" ht="15.75" thickBot="1">
      <c r="A150" s="137"/>
      <c r="B150" s="80"/>
      <c r="C150" s="80"/>
      <c r="D150" s="80"/>
      <c r="E150" s="81"/>
      <c r="H150" s="124"/>
      <c r="I150" s="80"/>
      <c r="J150" s="80"/>
      <c r="K150" s="80"/>
      <c r="L150" s="81"/>
      <c r="O150" s="102"/>
    </row>
    <row r="151" spans="1:26" ht="13.5" thickBot="1">
      <c r="A151" s="921" t="s">
        <v>393</v>
      </c>
      <c r="B151" s="922"/>
      <c r="C151" s="922"/>
      <c r="D151" s="923"/>
      <c r="E151" s="111">
        <f>SUM(E148:E150)</f>
        <v>13.418749999999999</v>
      </c>
      <c r="H151" s="921" t="s">
        <v>393</v>
      </c>
      <c r="I151" s="922"/>
      <c r="J151" s="923"/>
      <c r="K151" s="205"/>
      <c r="L151" s="111">
        <f>SUM(L148:L150)</f>
        <v>161.02499999999998</v>
      </c>
      <c r="O151" s="101"/>
    </row>
    <row r="152" spans="1:26" ht="15.75" thickBot="1">
      <c r="A152" s="102"/>
      <c r="F152" s="102"/>
      <c r="G152" s="99"/>
    </row>
    <row r="153" spans="1:26">
      <c r="A153" s="336" t="s">
        <v>440</v>
      </c>
    </row>
    <row r="154" spans="1:26">
      <c r="A154" s="648" t="str">
        <f>A149</f>
        <v>GB</v>
      </c>
      <c r="B154" s="100">
        <f>5.65*20</f>
        <v>113</v>
      </c>
      <c r="C154" s="100">
        <f>5.65*18</f>
        <v>101.7</v>
      </c>
      <c r="D154" s="100">
        <v>0</v>
      </c>
      <c r="E154" s="100">
        <v>0</v>
      </c>
      <c r="F154" s="100"/>
      <c r="G154" s="100"/>
      <c r="H154" s="100"/>
      <c r="I154" s="100"/>
      <c r="J154" s="100"/>
      <c r="K154" s="100"/>
      <c r="L154" s="648"/>
      <c r="M154" s="100"/>
      <c r="N154" s="649">
        <f>SUM(B154:M154)</f>
        <v>214.7</v>
      </c>
      <c r="V154" s="223"/>
      <c r="W154" s="223"/>
      <c r="Z154" s="101"/>
    </row>
    <row r="155" spans="1:26" ht="15">
      <c r="A155" s="102"/>
    </row>
    <row r="156" spans="1:26" ht="15">
      <c r="A156" s="102"/>
    </row>
    <row r="157" spans="1:26" ht="15.75" thickBot="1">
      <c r="A157" s="102"/>
      <c r="O157" s="951" t="s">
        <v>435</v>
      </c>
      <c r="P157" s="952"/>
      <c r="Q157" s="952"/>
      <c r="R157" s="952"/>
      <c r="S157" s="953"/>
    </row>
    <row r="158" spans="1:26" ht="15.75" thickBot="1">
      <c r="A158" s="587" t="s">
        <v>104</v>
      </c>
    </row>
    <row r="159" spans="1:26" ht="15.75" thickBot="1">
      <c r="A159" s="328" t="s">
        <v>421</v>
      </c>
      <c r="B159" s="471">
        <f>F167</f>
        <v>11.6615</v>
      </c>
      <c r="C159" s="95" t="s">
        <v>66</v>
      </c>
      <c r="D159" s="451" t="s">
        <v>385</v>
      </c>
      <c r="E159" s="459">
        <v>4.1500000000000004</v>
      </c>
      <c r="F159" s="121" t="s">
        <v>422</v>
      </c>
      <c r="H159" s="328" t="str">
        <f>A159</f>
        <v>COLUMN</v>
      </c>
      <c r="I159" s="472">
        <f>M167</f>
        <v>136.12</v>
      </c>
      <c r="J159" s="130" t="s">
        <v>84</v>
      </c>
      <c r="K159" s="130"/>
      <c r="L159" s="462" t="s">
        <v>385</v>
      </c>
      <c r="M159" s="452">
        <f>E159</f>
        <v>4.1500000000000004</v>
      </c>
      <c r="N159" s="126" t="s">
        <v>422</v>
      </c>
      <c r="O159" s="328" t="str">
        <f>H159</f>
        <v>COLUMN</v>
      </c>
      <c r="P159" s="472">
        <f>S167</f>
        <v>15.619999999999997</v>
      </c>
      <c r="Q159" s="130" t="s">
        <v>84</v>
      </c>
      <c r="R159" s="653"/>
      <c r="S159" s="134"/>
      <c r="T159" s="654"/>
      <c r="U159" s="106"/>
    </row>
    <row r="160" spans="1:26" ht="13.5" thickBot="1"/>
    <row r="161" spans="1:20" s="127" customFormat="1" ht="16.5" customHeight="1" thickBot="1">
      <c r="A161" s="463" t="s">
        <v>382</v>
      </c>
      <c r="B161" s="464" t="s">
        <v>291</v>
      </c>
      <c r="C161" s="464" t="s">
        <v>383</v>
      </c>
      <c r="D161" s="464" t="s">
        <v>384</v>
      </c>
      <c r="E161" s="464" t="s">
        <v>385</v>
      </c>
      <c r="F161" s="465" t="s">
        <v>386</v>
      </c>
      <c r="H161" s="463" t="s">
        <v>382</v>
      </c>
      <c r="I161" s="464" t="s">
        <v>291</v>
      </c>
      <c r="J161" s="466" t="s">
        <v>410</v>
      </c>
      <c r="K161" s="464"/>
      <c r="L161" s="466" t="s">
        <v>385</v>
      </c>
      <c r="M161" s="467" t="s">
        <v>408</v>
      </c>
      <c r="O161" s="463" t="s">
        <v>382</v>
      </c>
      <c r="P161" s="464" t="s">
        <v>291</v>
      </c>
      <c r="Q161" s="466" t="s">
        <v>437</v>
      </c>
      <c r="R161" s="651" t="s">
        <v>384</v>
      </c>
      <c r="S161" s="652" t="s">
        <v>408</v>
      </c>
      <c r="T161" s="650"/>
    </row>
    <row r="162" spans="1:20">
      <c r="A162" s="82"/>
      <c r="B162" s="82"/>
      <c r="C162" s="82"/>
      <c r="D162" s="82"/>
      <c r="E162" s="82"/>
      <c r="F162" s="82"/>
      <c r="H162" s="82"/>
      <c r="I162" s="82"/>
      <c r="J162" s="82"/>
      <c r="K162" s="82"/>
      <c r="L162" s="82"/>
      <c r="M162" s="82"/>
      <c r="O162" s="82"/>
      <c r="P162" s="82"/>
      <c r="Q162" s="82"/>
      <c r="R162" s="213"/>
      <c r="S162" s="82"/>
      <c r="T162" s="74"/>
    </row>
    <row r="163" spans="1:20" ht="15">
      <c r="A163" s="123" t="s">
        <v>423</v>
      </c>
      <c r="B163" s="78">
        <v>8</v>
      </c>
      <c r="C163" s="78">
        <v>0.35</v>
      </c>
      <c r="D163" s="78">
        <v>0.35</v>
      </c>
      <c r="E163" s="78">
        <f>E159</f>
        <v>4.1500000000000004</v>
      </c>
      <c r="F163" s="79">
        <f>E163*D163*C163*B163</f>
        <v>4.0670000000000002</v>
      </c>
      <c r="H163" s="123" t="str">
        <f t="shared" ref="H163:I165" si="26">A163</f>
        <v>C1</v>
      </c>
      <c r="I163" s="78">
        <f t="shared" si="26"/>
        <v>8</v>
      </c>
      <c r="J163" s="78">
        <f t="shared" ref="J163:J165" si="27">2*(C163+D163)</f>
        <v>1.4</v>
      </c>
      <c r="K163" s="78"/>
      <c r="L163" s="78">
        <f>M159</f>
        <v>4.1500000000000004</v>
      </c>
      <c r="M163" s="79">
        <f>L163*J163*I163</f>
        <v>46.480000000000004</v>
      </c>
      <c r="O163" s="123" t="str">
        <f t="shared" ref="O163:O165" si="28">H163</f>
        <v>C1</v>
      </c>
      <c r="P163" s="78">
        <f>I163</f>
        <v>8</v>
      </c>
      <c r="Q163" s="78">
        <f>C163</f>
        <v>0.35</v>
      </c>
      <c r="R163" s="74">
        <f>D163</f>
        <v>0.35</v>
      </c>
      <c r="S163" s="79">
        <f>P163*Q163*R163</f>
        <v>0.97999999999999987</v>
      </c>
      <c r="T163" s="576"/>
    </row>
    <row r="164" spans="1:20" ht="15">
      <c r="A164" s="123" t="s">
        <v>424</v>
      </c>
      <c r="B164" s="78">
        <v>12</v>
      </c>
      <c r="C164" s="78">
        <v>0.35</v>
      </c>
      <c r="D164" s="78">
        <v>0.35</v>
      </c>
      <c r="E164" s="78">
        <f>E159</f>
        <v>4.1500000000000004</v>
      </c>
      <c r="F164" s="79">
        <f>E164*D164*C164*B164</f>
        <v>6.1005000000000003</v>
      </c>
      <c r="H164" s="123" t="str">
        <f t="shared" si="26"/>
        <v>C2</v>
      </c>
      <c r="I164" s="78">
        <f t="shared" si="26"/>
        <v>12</v>
      </c>
      <c r="J164" s="78">
        <f t="shared" si="27"/>
        <v>1.4</v>
      </c>
      <c r="K164" s="78"/>
      <c r="L164" s="78">
        <f>M159</f>
        <v>4.1500000000000004</v>
      </c>
      <c r="M164" s="79">
        <f>L164*J164*I164</f>
        <v>69.72</v>
      </c>
      <c r="O164" s="123" t="str">
        <f t="shared" si="28"/>
        <v>C2</v>
      </c>
      <c r="P164" s="78">
        <f>I164</f>
        <v>12</v>
      </c>
      <c r="Q164" s="78">
        <f t="shared" ref="Q164:Q165" si="29">2*(J164+K164)</f>
        <v>2.8</v>
      </c>
      <c r="R164" s="74">
        <f t="shared" ref="R164:R165" si="30">D164</f>
        <v>0.35</v>
      </c>
      <c r="S164" s="79">
        <f>P164*Q164*R164</f>
        <v>11.759999999999998</v>
      </c>
      <c r="T164" s="576"/>
    </row>
    <row r="165" spans="1:20" ht="15">
      <c r="A165" s="123" t="s">
        <v>425</v>
      </c>
      <c r="B165" s="78">
        <v>4</v>
      </c>
      <c r="C165" s="78">
        <v>0.3</v>
      </c>
      <c r="D165" s="78">
        <v>0.3</v>
      </c>
      <c r="E165" s="78">
        <f>E159</f>
        <v>4.1500000000000004</v>
      </c>
      <c r="F165" s="79">
        <f>E165*D165*C165*B165</f>
        <v>1.494</v>
      </c>
      <c r="H165" s="123" t="str">
        <f t="shared" si="26"/>
        <v>C3</v>
      </c>
      <c r="I165" s="78">
        <f t="shared" si="26"/>
        <v>4</v>
      </c>
      <c r="J165" s="78">
        <f t="shared" si="27"/>
        <v>1.2</v>
      </c>
      <c r="K165" s="78"/>
      <c r="L165" s="78">
        <f>M159</f>
        <v>4.1500000000000004</v>
      </c>
      <c r="M165" s="79">
        <f>L165*J165*I165</f>
        <v>19.920000000000002</v>
      </c>
      <c r="O165" s="123" t="str">
        <f t="shared" si="28"/>
        <v>C3</v>
      </c>
      <c r="P165" s="78">
        <f>I165</f>
        <v>4</v>
      </c>
      <c r="Q165" s="78">
        <f t="shared" si="29"/>
        <v>2.4</v>
      </c>
      <c r="R165" s="74">
        <f t="shared" si="30"/>
        <v>0.3</v>
      </c>
      <c r="S165" s="79">
        <f>P165*Q165*R165</f>
        <v>2.88</v>
      </c>
      <c r="T165" s="576"/>
    </row>
    <row r="166" spans="1:20" ht="15.75" thickBot="1">
      <c r="A166" s="123"/>
      <c r="B166" s="78"/>
      <c r="C166" s="78"/>
      <c r="D166" s="78"/>
      <c r="E166" s="78"/>
      <c r="F166" s="79"/>
      <c r="H166" s="124"/>
      <c r="I166" s="80"/>
      <c r="J166" s="80"/>
      <c r="K166" s="80"/>
      <c r="L166" s="80"/>
      <c r="M166" s="81"/>
      <c r="O166" s="124"/>
      <c r="P166" s="80"/>
      <c r="Q166" s="80"/>
      <c r="R166" s="219"/>
      <c r="S166" s="81"/>
      <c r="T166" s="576"/>
    </row>
    <row r="167" spans="1:20" ht="13.5" thickBot="1">
      <c r="A167" s="921" t="s">
        <v>393</v>
      </c>
      <c r="B167" s="922"/>
      <c r="C167" s="922"/>
      <c r="D167" s="922"/>
      <c r="E167" s="923"/>
      <c r="F167" s="111">
        <f>SUM(F162:F166)</f>
        <v>11.6615</v>
      </c>
      <c r="H167" s="921" t="s">
        <v>393</v>
      </c>
      <c r="I167" s="922"/>
      <c r="J167" s="922"/>
      <c r="K167" s="922"/>
      <c r="L167" s="923"/>
      <c r="M167" s="111">
        <f>SUM(M162:M166)</f>
        <v>136.12</v>
      </c>
      <c r="O167" s="921" t="s">
        <v>393</v>
      </c>
      <c r="P167" s="924"/>
      <c r="Q167" s="924"/>
      <c r="R167" s="925"/>
      <c r="S167" s="111">
        <f>SUM(S162:S166)</f>
        <v>15.619999999999997</v>
      </c>
      <c r="T167" s="260"/>
    </row>
    <row r="168" spans="1:20">
      <c r="A168" s="134"/>
      <c r="B168" s="135"/>
      <c r="C168" s="135"/>
      <c r="D168" s="135"/>
      <c r="E168" s="135"/>
      <c r="F168" s="101"/>
      <c r="H168" s="134"/>
      <c r="I168" s="135"/>
      <c r="J168" s="135"/>
      <c r="K168" s="135"/>
      <c r="L168" s="135"/>
      <c r="M168" s="101"/>
    </row>
    <row r="169" spans="1:20" ht="13.5" thickBot="1">
      <c r="A169" s="134"/>
      <c r="B169" s="135"/>
      <c r="C169" s="135"/>
      <c r="D169" s="135"/>
      <c r="E169" s="135"/>
      <c r="F169" s="101"/>
      <c r="H169" s="134"/>
      <c r="I169" s="135"/>
      <c r="J169" s="135"/>
      <c r="K169" s="135"/>
      <c r="L169" s="135"/>
      <c r="M169" s="101"/>
    </row>
    <row r="170" spans="1:20" ht="15.75" thickBot="1">
      <c r="A170" s="594" t="s">
        <v>438</v>
      </c>
      <c r="B170" s="469">
        <f>E177</f>
        <v>17.424225</v>
      </c>
      <c r="C170" s="95" t="s">
        <v>66</v>
      </c>
      <c r="H170" s="328" t="str">
        <f>A170</f>
        <v>ATTACHED BEAMS</v>
      </c>
      <c r="I170" s="469">
        <f>L177</f>
        <v>206.376</v>
      </c>
      <c r="J170" s="95" t="s">
        <v>84</v>
      </c>
      <c r="K170" s="211"/>
      <c r="O170" s="328" t="str">
        <f>H170</f>
        <v>ATTACHED BEAMS</v>
      </c>
      <c r="P170" s="472">
        <f>S177</f>
        <v>50.50500000000001</v>
      </c>
      <c r="Q170" s="130" t="s">
        <v>84</v>
      </c>
      <c r="R170" s="653"/>
      <c r="S170" s="134"/>
    </row>
    <row r="171" spans="1:20" ht="13.5" thickBot="1"/>
    <row r="172" spans="1:20" ht="13.5" thickBot="1">
      <c r="A172" s="329" t="s">
        <v>382</v>
      </c>
      <c r="B172" s="331" t="s">
        <v>383</v>
      </c>
      <c r="C172" s="331" t="s">
        <v>384</v>
      </c>
      <c r="D172" s="331" t="s">
        <v>385</v>
      </c>
      <c r="E172" s="332" t="s">
        <v>386</v>
      </c>
      <c r="H172" s="329" t="s">
        <v>382</v>
      </c>
      <c r="I172" s="331" t="s">
        <v>383</v>
      </c>
      <c r="J172" s="331" t="s">
        <v>384</v>
      </c>
      <c r="K172" s="468"/>
      <c r="L172" s="332" t="s">
        <v>387</v>
      </c>
      <c r="O172" s="463" t="s">
        <v>382</v>
      </c>
      <c r="P172" s="464" t="s">
        <v>291</v>
      </c>
      <c r="Q172" s="464" t="s">
        <v>383</v>
      </c>
      <c r="R172" s="651" t="s">
        <v>384</v>
      </c>
      <c r="S172" s="652" t="s">
        <v>408</v>
      </c>
    </row>
    <row r="173" spans="1:20">
      <c r="A173" s="82"/>
      <c r="B173" s="82"/>
      <c r="C173" s="82"/>
      <c r="D173" s="82"/>
      <c r="E173" s="82"/>
      <c r="H173" s="82"/>
      <c r="I173" s="82"/>
      <c r="J173" s="82"/>
      <c r="K173" s="82"/>
      <c r="L173" s="82"/>
      <c r="O173" s="82"/>
      <c r="P173" s="82"/>
      <c r="Q173" s="82"/>
      <c r="R173" s="213"/>
      <c r="S173" s="82"/>
    </row>
    <row r="174" spans="1:20" ht="15">
      <c r="A174" s="136" t="s">
        <v>522</v>
      </c>
      <c r="B174" s="78">
        <f>N180</f>
        <v>106.5</v>
      </c>
      <c r="C174" s="78">
        <v>0.25</v>
      </c>
      <c r="D174" s="78">
        <v>0.34499999999999997</v>
      </c>
      <c r="E174" s="79">
        <f>D174*C174*B174</f>
        <v>9.1856249999999999</v>
      </c>
      <c r="H174" s="123" t="str">
        <f t="shared" ref="H174:I175" si="31">A174</f>
        <v>B1,B2,B3,B4,B5</v>
      </c>
      <c r="I174" s="78">
        <f t="shared" si="31"/>
        <v>106.5</v>
      </c>
      <c r="J174" s="78">
        <f>C174+D174+D174</f>
        <v>0.94</v>
      </c>
      <c r="K174" s="78"/>
      <c r="L174" s="79">
        <f>J174*I174</f>
        <v>100.11</v>
      </c>
      <c r="O174" s="123" t="str">
        <f t="shared" ref="O174:O175" si="32">H174</f>
        <v>B1,B2,B3,B4,B5</v>
      </c>
      <c r="P174" s="78">
        <v>1</v>
      </c>
      <c r="Q174" s="78">
        <f>I174</f>
        <v>106.5</v>
      </c>
      <c r="R174" s="78">
        <f>C174</f>
        <v>0.25</v>
      </c>
      <c r="S174" s="79">
        <f>R174*Q174*P174</f>
        <v>26.625</v>
      </c>
    </row>
    <row r="175" spans="1:20" ht="15">
      <c r="A175" s="136" t="s">
        <v>523</v>
      </c>
      <c r="B175" s="78">
        <f>N181</f>
        <v>119.40000000000002</v>
      </c>
      <c r="C175" s="78">
        <v>0.2</v>
      </c>
      <c r="D175" s="78">
        <v>0.34499999999999997</v>
      </c>
      <c r="E175" s="79">
        <f t="shared" ref="E175" si="33">D175*C175*B175</f>
        <v>8.2385999999999999</v>
      </c>
      <c r="H175" s="123" t="str">
        <f t="shared" si="31"/>
        <v>B6</v>
      </c>
      <c r="I175" s="78">
        <f t="shared" si="31"/>
        <v>119.40000000000002</v>
      </c>
      <c r="J175" s="78">
        <f>C175+D175+D175</f>
        <v>0.8899999999999999</v>
      </c>
      <c r="K175" s="78"/>
      <c r="L175" s="79">
        <f t="shared" ref="L175" si="34">J175*I175</f>
        <v>106.26600000000001</v>
      </c>
      <c r="O175" s="123" t="str">
        <f t="shared" si="32"/>
        <v>B6</v>
      </c>
      <c r="P175" s="78">
        <v>1</v>
      </c>
      <c r="Q175" s="78">
        <f>I175</f>
        <v>119.40000000000002</v>
      </c>
      <c r="R175" s="78">
        <f>C175</f>
        <v>0.2</v>
      </c>
      <c r="S175" s="79">
        <f>R175*Q175*P175</f>
        <v>23.880000000000006</v>
      </c>
    </row>
    <row r="176" spans="1:20" ht="15.75" thickBot="1">
      <c r="A176" s="137"/>
      <c r="B176" s="80"/>
      <c r="C176" s="80"/>
      <c r="D176" s="80"/>
      <c r="E176" s="81"/>
      <c r="H176" s="124"/>
      <c r="I176" s="80"/>
      <c r="J176" s="80"/>
      <c r="K176" s="80"/>
      <c r="L176" s="81"/>
      <c r="O176" s="81"/>
      <c r="P176" s="80"/>
      <c r="Q176" s="80"/>
      <c r="R176" s="80"/>
      <c r="S176" s="80"/>
    </row>
    <row r="177" spans="1:22" ht="13.5" thickBot="1">
      <c r="A177" s="921" t="s">
        <v>393</v>
      </c>
      <c r="B177" s="922"/>
      <c r="C177" s="922"/>
      <c r="D177" s="923"/>
      <c r="E177" s="111">
        <f>SUM(E173:E176)</f>
        <v>17.424225</v>
      </c>
      <c r="H177" s="921" t="s">
        <v>393</v>
      </c>
      <c r="I177" s="922"/>
      <c r="J177" s="923"/>
      <c r="K177" s="205"/>
      <c r="L177" s="111">
        <f>SUM(L173:L176)</f>
        <v>206.376</v>
      </c>
      <c r="O177" s="921" t="s">
        <v>393</v>
      </c>
      <c r="P177" s="924"/>
      <c r="Q177" s="924"/>
      <c r="R177" s="925"/>
      <c r="S177" s="111">
        <f>SUM(S172:S176)</f>
        <v>50.50500000000001</v>
      </c>
    </row>
    <row r="178" spans="1:22" ht="15.75" thickBot="1">
      <c r="A178" s="102"/>
      <c r="F178" s="102"/>
      <c r="G178" s="99"/>
    </row>
    <row r="179" spans="1:22">
      <c r="A179" s="336" t="s">
        <v>440</v>
      </c>
    </row>
    <row r="180" spans="1:22">
      <c r="A180" s="103" t="str">
        <f>A174</f>
        <v>B1,B2,B3,B4,B5</v>
      </c>
      <c r="B180" s="100">
        <v>17.95</v>
      </c>
      <c r="C180" s="100">
        <v>17.95</v>
      </c>
      <c r="D180" s="100">
        <f>4*6.125</f>
        <v>24.5</v>
      </c>
      <c r="E180" s="100">
        <f>4*5.825</f>
        <v>23.3</v>
      </c>
      <c r="F180" s="100">
        <f>5.7*4</f>
        <v>22.8</v>
      </c>
      <c r="G180" s="100"/>
      <c r="H180" s="100"/>
      <c r="I180" s="100"/>
      <c r="J180" s="100"/>
      <c r="K180" s="100"/>
      <c r="L180" s="100"/>
      <c r="M180" s="100"/>
      <c r="N180" s="649">
        <f>SUM(B180:M180)</f>
        <v>106.5</v>
      </c>
      <c r="O180" s="655"/>
      <c r="P180" s="656"/>
      <c r="Q180" s="656"/>
      <c r="R180" s="656"/>
      <c r="S180" s="656"/>
      <c r="T180" s="656"/>
      <c r="U180" s="657"/>
      <c r="V180" s="101"/>
    </row>
    <row r="181" spans="1:22">
      <c r="A181" s="103" t="str">
        <f>A175</f>
        <v>B6</v>
      </c>
      <c r="B181" s="100">
        <v>30.35</v>
      </c>
      <c r="C181" s="100">
        <v>30.35</v>
      </c>
      <c r="D181" s="100">
        <v>17.95</v>
      </c>
      <c r="E181" s="100">
        <v>17.95</v>
      </c>
      <c r="F181" s="100">
        <v>5.7</v>
      </c>
      <c r="G181" s="100">
        <v>5.7</v>
      </c>
      <c r="H181" s="100">
        <f>2*5.7</f>
        <v>11.4</v>
      </c>
      <c r="I181" s="100"/>
      <c r="J181" s="100"/>
      <c r="K181" s="100"/>
      <c r="L181" s="100"/>
      <c r="M181" s="100"/>
      <c r="N181" s="649">
        <f>SUM(B181:M181)</f>
        <v>119.40000000000002</v>
      </c>
      <c r="O181" s="655"/>
      <c r="P181" s="656"/>
      <c r="Q181" s="656"/>
      <c r="R181" s="656"/>
      <c r="S181" s="656"/>
      <c r="T181" s="656"/>
      <c r="U181" s="657"/>
      <c r="V181" s="101"/>
    </row>
    <row r="182" spans="1:22" ht="15">
      <c r="A182" s="322"/>
      <c r="N182" s="760"/>
      <c r="U182" s="101"/>
      <c r="V182" s="101"/>
    </row>
    <row r="183" spans="1:22" ht="13.5" thickBot="1"/>
    <row r="184" spans="1:22" ht="15.75" thickBot="1">
      <c r="A184" s="461" t="s">
        <v>441</v>
      </c>
      <c r="B184" s="469">
        <f>D190-D195</f>
        <v>96.335599999999999</v>
      </c>
      <c r="C184" s="95" t="s">
        <v>66</v>
      </c>
      <c r="H184" s="328" t="str">
        <f>A184</f>
        <v>SLAB</v>
      </c>
      <c r="I184" s="469">
        <f>L190-L195</f>
        <v>593.09320000000002</v>
      </c>
      <c r="J184" s="95" t="s">
        <v>84</v>
      </c>
      <c r="K184" s="211"/>
    </row>
    <row r="185" spans="1:22" ht="13.5" thickBot="1"/>
    <row r="186" spans="1:22" ht="13.5" thickBot="1">
      <c r="A186" s="329" t="s">
        <v>382</v>
      </c>
      <c r="B186" s="331" t="s">
        <v>409</v>
      </c>
      <c r="C186" s="331" t="s">
        <v>385</v>
      </c>
      <c r="D186" s="331" t="s">
        <v>386</v>
      </c>
      <c r="H186" s="329" t="s">
        <v>382</v>
      </c>
      <c r="I186" s="331" t="s">
        <v>383</v>
      </c>
      <c r="J186" s="330" t="s">
        <v>442</v>
      </c>
      <c r="K186" s="468"/>
      <c r="L186" s="332" t="s">
        <v>443</v>
      </c>
    </row>
    <row r="187" spans="1:22">
      <c r="A187" s="213"/>
      <c r="B187" s="82"/>
      <c r="C187" s="82"/>
      <c r="D187" s="82"/>
      <c r="H187" s="213"/>
      <c r="I187" s="213"/>
      <c r="J187" s="82"/>
      <c r="K187" s="214"/>
      <c r="L187" s="215"/>
    </row>
    <row r="188" spans="1:22" ht="15">
      <c r="A188" s="323" t="s">
        <v>524</v>
      </c>
      <c r="B188" s="72">
        <f>L199</f>
        <v>701.4</v>
      </c>
      <c r="C188" s="78">
        <v>0.155</v>
      </c>
      <c r="D188" s="79">
        <f>C188*B188</f>
        <v>108.717</v>
      </c>
      <c r="H188" s="216" t="str">
        <f>A188</f>
        <v>155mm tk Slab</v>
      </c>
      <c r="I188" s="74">
        <f>B188</f>
        <v>701.4</v>
      </c>
      <c r="J188" s="78">
        <v>0</v>
      </c>
      <c r="K188" s="96"/>
      <c r="L188" s="217">
        <f>I188</f>
        <v>701.4</v>
      </c>
    </row>
    <row r="189" spans="1:22" ht="15.75" thickBot="1">
      <c r="A189" s="323"/>
      <c r="B189" s="78"/>
      <c r="C189" s="78"/>
      <c r="D189" s="79"/>
      <c r="H189" s="323" t="s">
        <v>446</v>
      </c>
      <c r="I189" s="74">
        <f>L205+L206</f>
        <v>142.44</v>
      </c>
      <c r="J189" s="78">
        <v>0.155</v>
      </c>
      <c r="L189" s="217">
        <f>J189*I189</f>
        <v>22.078199999999999</v>
      </c>
    </row>
    <row r="190" spans="1:22" ht="15.75" thickBot="1">
      <c r="A190" s="216"/>
      <c r="B190" s="78"/>
      <c r="C190" s="78"/>
      <c r="D190" s="224">
        <f>SUM(D188:D188)</f>
        <v>108.717</v>
      </c>
      <c r="H190" s="216"/>
      <c r="I190" s="74"/>
      <c r="J190" s="78"/>
      <c r="L190" s="224">
        <f>SUM(L188:L189)</f>
        <v>723.47820000000002</v>
      </c>
    </row>
    <row r="191" spans="1:22" ht="15">
      <c r="A191" s="218" t="s">
        <v>447</v>
      </c>
      <c r="B191" s="78"/>
      <c r="C191" s="78"/>
      <c r="D191" s="217"/>
      <c r="H191" s="218" t="s">
        <v>447</v>
      </c>
      <c r="I191" s="74"/>
      <c r="J191" s="78"/>
      <c r="L191" s="217"/>
    </row>
    <row r="192" spans="1:22" ht="15">
      <c r="A192" s="216" t="s">
        <v>449</v>
      </c>
      <c r="B192" s="72">
        <f>L201</f>
        <v>0</v>
      </c>
      <c r="C192" s="78">
        <v>0.155</v>
      </c>
      <c r="D192" s="79">
        <f>C192*B192</f>
        <v>0</v>
      </c>
      <c r="H192" s="216" t="s">
        <v>449</v>
      </c>
      <c r="I192" s="74">
        <v>1</v>
      </c>
      <c r="J192" s="78">
        <v>0</v>
      </c>
      <c r="L192" s="217">
        <f>J192*I192</f>
        <v>0</v>
      </c>
    </row>
    <row r="193" spans="1:22" ht="15">
      <c r="A193" s="323" t="s">
        <v>450</v>
      </c>
      <c r="B193" s="78">
        <f>L202</f>
        <v>64.260000000000005</v>
      </c>
      <c r="C193" s="78">
        <v>0.155</v>
      </c>
      <c r="D193" s="217">
        <f>C193*B193</f>
        <v>9.9603000000000002</v>
      </c>
      <c r="H193" s="216" t="s">
        <v>451</v>
      </c>
      <c r="I193" s="74">
        <v>1</v>
      </c>
      <c r="J193" s="78">
        <f>B193</f>
        <v>64.260000000000005</v>
      </c>
      <c r="L193" s="217">
        <f>J193*I193</f>
        <v>64.260000000000005</v>
      </c>
    </row>
    <row r="194" spans="1:22" ht="15.75" thickBot="1">
      <c r="A194" s="323" t="s">
        <v>452</v>
      </c>
      <c r="B194" s="78">
        <f>P159</f>
        <v>15.619999999999997</v>
      </c>
      <c r="C194" s="78">
        <v>0.155</v>
      </c>
      <c r="D194" s="217">
        <f>C194*B194</f>
        <v>2.4210999999999996</v>
      </c>
      <c r="H194" s="323" t="s">
        <v>453</v>
      </c>
      <c r="I194" s="74">
        <v>1</v>
      </c>
      <c r="J194" s="78">
        <f>P170+P159</f>
        <v>66.125</v>
      </c>
      <c r="L194" s="217">
        <f>J194*I194</f>
        <v>66.125</v>
      </c>
      <c r="M194" s="223"/>
    </row>
    <row r="195" spans="1:22" ht="15.75" thickBot="1">
      <c r="A195" s="216"/>
      <c r="B195" s="78"/>
      <c r="C195" s="78"/>
      <c r="D195" s="224">
        <f>SUM(D192:D194)</f>
        <v>12.381399999999999</v>
      </c>
      <c r="H195" s="216"/>
      <c r="I195" s="74"/>
      <c r="J195" s="78"/>
      <c r="L195" s="224">
        <f>SUM(L192:L194)</f>
        <v>130.38499999999999</v>
      </c>
    </row>
    <row r="196" spans="1:22" ht="13.5" thickBot="1">
      <c r="A196" s="219"/>
      <c r="B196" s="80"/>
      <c r="C196" s="80"/>
      <c r="D196" s="221"/>
      <c r="H196" s="219"/>
      <c r="I196" s="219"/>
      <c r="J196" s="80"/>
      <c r="K196" s="220"/>
      <c r="L196" s="221"/>
    </row>
    <row r="197" spans="1:22" ht="13.5" thickBot="1"/>
    <row r="198" spans="1:22" ht="13.5" thickBot="1">
      <c r="A198" s="336" t="s">
        <v>454</v>
      </c>
    </row>
    <row r="199" spans="1:22" ht="15">
      <c r="A199" s="103" t="str">
        <f>A188</f>
        <v>155mm tk Slab</v>
      </c>
      <c r="B199" s="100">
        <v>701.4</v>
      </c>
      <c r="C199" s="100">
        <v>0</v>
      </c>
      <c r="D199" s="100">
        <v>0</v>
      </c>
      <c r="E199" s="100">
        <v>0</v>
      </c>
      <c r="F199" s="100">
        <v>0</v>
      </c>
      <c r="G199" s="100">
        <v>0</v>
      </c>
      <c r="H199" s="100">
        <v>0</v>
      </c>
      <c r="I199" s="100">
        <v>0</v>
      </c>
      <c r="J199" s="100">
        <v>0</v>
      </c>
      <c r="K199" s="100"/>
      <c r="L199" s="455">
        <f>SUM(B199:J199)</f>
        <v>701.4</v>
      </c>
      <c r="M199" s="595"/>
      <c r="N199" s="760"/>
      <c r="V199" s="101"/>
    </row>
    <row r="200" spans="1:22" ht="15.75" thickBot="1">
      <c r="A200" s="222" t="str">
        <f>A191</f>
        <v>Deduction</v>
      </c>
    </row>
    <row r="201" spans="1:22" ht="15.75" thickBot="1">
      <c r="A201" s="103" t="str">
        <f>A192</f>
        <v>Lift Void</v>
      </c>
      <c r="B201" s="100">
        <v>0</v>
      </c>
      <c r="C201" s="100">
        <v>0</v>
      </c>
      <c r="D201" s="100">
        <v>0</v>
      </c>
      <c r="E201" s="100">
        <v>0</v>
      </c>
      <c r="F201" s="100">
        <v>0</v>
      </c>
      <c r="G201" s="100">
        <v>0</v>
      </c>
      <c r="H201" s="100">
        <v>0</v>
      </c>
      <c r="I201" s="100">
        <v>0</v>
      </c>
      <c r="J201" s="100">
        <v>0</v>
      </c>
      <c r="K201" s="100"/>
      <c r="L201" s="455">
        <f>SUM(B201:J201)</f>
        <v>0</v>
      </c>
      <c r="M201" s="595"/>
      <c r="N201" s="760"/>
      <c r="V201" s="101"/>
    </row>
    <row r="202" spans="1:22" ht="15">
      <c r="A202" s="103" t="str">
        <f>A193</f>
        <v>Stair Well &amp; Voids</v>
      </c>
      <c r="B202" s="100">
        <v>64.260000000000005</v>
      </c>
      <c r="C202" s="100">
        <v>0</v>
      </c>
      <c r="D202" s="100">
        <v>0</v>
      </c>
      <c r="E202" s="100">
        <v>0</v>
      </c>
      <c r="F202" s="100">
        <v>0</v>
      </c>
      <c r="G202" s="100">
        <v>0</v>
      </c>
      <c r="H202" s="100">
        <v>0</v>
      </c>
      <c r="I202" s="100">
        <v>0</v>
      </c>
      <c r="J202" s="100">
        <v>0</v>
      </c>
      <c r="K202" s="100"/>
      <c r="L202" s="455">
        <f>SUM(B202:J202)</f>
        <v>64.260000000000005</v>
      </c>
      <c r="M202" s="595"/>
      <c r="N202" s="760"/>
      <c r="V202" s="101"/>
    </row>
    <row r="203" spans="1:22" ht="13.5" thickBot="1"/>
    <row r="204" spans="1:22" ht="13.5" thickBot="1">
      <c r="A204" s="336" t="s">
        <v>455</v>
      </c>
    </row>
    <row r="205" spans="1:22" ht="15.75" thickBot="1">
      <c r="A205" s="103" t="s">
        <v>456</v>
      </c>
      <c r="B205" s="100">
        <v>108.8</v>
      </c>
      <c r="C205" s="100">
        <v>0</v>
      </c>
      <c r="D205" s="100">
        <v>0</v>
      </c>
      <c r="E205" s="100">
        <v>0</v>
      </c>
      <c r="F205" s="100">
        <v>0</v>
      </c>
      <c r="G205" s="100">
        <v>0</v>
      </c>
      <c r="H205" s="100">
        <v>0</v>
      </c>
      <c r="I205" s="100">
        <v>0</v>
      </c>
      <c r="J205" s="100">
        <v>0</v>
      </c>
      <c r="K205" s="100"/>
      <c r="L205" s="455">
        <f>SUM(B205:J205)</f>
        <v>108.8</v>
      </c>
      <c r="M205" s="595"/>
      <c r="N205" s="760"/>
      <c r="V205" s="101"/>
    </row>
    <row r="206" spans="1:22" ht="15.75" thickBot="1">
      <c r="A206" s="103" t="s">
        <v>457</v>
      </c>
      <c r="B206" s="100">
        <v>33.64</v>
      </c>
      <c r="C206" s="100">
        <v>0</v>
      </c>
      <c r="D206" s="100">
        <v>0</v>
      </c>
      <c r="E206" s="100">
        <v>0</v>
      </c>
      <c r="F206" s="100">
        <v>0</v>
      </c>
      <c r="G206" s="100">
        <v>0</v>
      </c>
      <c r="H206" s="100">
        <v>0</v>
      </c>
      <c r="I206" s="100">
        <v>0</v>
      </c>
      <c r="J206" s="100">
        <v>0</v>
      </c>
      <c r="K206" s="100"/>
      <c r="L206" s="455">
        <f>SUM(B206:J206)</f>
        <v>33.64</v>
      </c>
      <c r="M206" s="595"/>
      <c r="N206" s="760"/>
      <c r="V206" s="101"/>
    </row>
    <row r="207" spans="1:22" ht="15">
      <c r="A207" s="103" t="s">
        <v>458</v>
      </c>
      <c r="B207" s="100">
        <v>0</v>
      </c>
      <c r="C207" s="100">
        <v>0</v>
      </c>
      <c r="D207" s="100">
        <v>0</v>
      </c>
      <c r="E207" s="100">
        <v>0</v>
      </c>
      <c r="F207" s="100">
        <v>0</v>
      </c>
      <c r="G207" s="100">
        <v>0</v>
      </c>
      <c r="H207" s="100">
        <v>0</v>
      </c>
      <c r="I207" s="100">
        <v>0</v>
      </c>
      <c r="J207" s="100">
        <v>0</v>
      </c>
      <c r="K207" s="100"/>
      <c r="L207" s="455">
        <f>SUM(B207:J207)</f>
        <v>0</v>
      </c>
      <c r="M207" s="595"/>
      <c r="N207" s="760"/>
      <c r="V207" s="101"/>
    </row>
    <row r="208" spans="1:22" ht="13.5" thickBot="1"/>
    <row r="209" spans="1:12" ht="15.75" thickBot="1">
      <c r="A209" s="461" t="s">
        <v>459</v>
      </c>
      <c r="B209" s="469">
        <f>E220</f>
        <v>0.41500000000000004</v>
      </c>
      <c r="C209" s="95" t="s">
        <v>66</v>
      </c>
    </row>
    <row r="210" spans="1:12" ht="13.5" thickBot="1"/>
    <row r="211" spans="1:12" ht="13.5" thickBot="1">
      <c r="A211" s="329" t="s">
        <v>382</v>
      </c>
      <c r="B211" s="331" t="s">
        <v>383</v>
      </c>
      <c r="C211" s="331" t="s">
        <v>384</v>
      </c>
      <c r="D211" s="330" t="s">
        <v>460</v>
      </c>
      <c r="E211" s="332" t="s">
        <v>386</v>
      </c>
    </row>
    <row r="212" spans="1:12">
      <c r="A212" s="82"/>
      <c r="B212" s="82"/>
      <c r="C212" s="82"/>
      <c r="D212" s="82"/>
      <c r="E212" s="82"/>
    </row>
    <row r="213" spans="1:12" ht="15">
      <c r="A213" s="136" t="s">
        <v>461</v>
      </c>
      <c r="B213" s="78">
        <v>0</v>
      </c>
      <c r="C213" s="78">
        <v>1</v>
      </c>
      <c r="D213" s="78">
        <v>0.15</v>
      </c>
      <c r="E213" s="79">
        <f>D213*C213*B213</f>
        <v>0</v>
      </c>
    </row>
    <row r="214" spans="1:12" ht="15">
      <c r="A214" s="136" t="s">
        <v>462</v>
      </c>
      <c r="B214" s="78">
        <v>0</v>
      </c>
      <c r="C214" s="78">
        <v>1</v>
      </c>
      <c r="D214" s="78">
        <v>0.15</v>
      </c>
      <c r="E214" s="79">
        <f>D214*C214*B214</f>
        <v>0</v>
      </c>
    </row>
    <row r="215" spans="1:12" ht="15">
      <c r="A215" s="136" t="s">
        <v>463</v>
      </c>
      <c r="B215" s="78">
        <v>0</v>
      </c>
      <c r="C215" s="78">
        <v>1</v>
      </c>
      <c r="D215" s="78">
        <v>0.16500000000000001</v>
      </c>
      <c r="E215" s="79">
        <f t="shared" ref="E215:E217" si="35">D215*C215*B215</f>
        <v>0</v>
      </c>
    </row>
    <row r="216" spans="1:12" ht="15">
      <c r="A216" s="136" t="s">
        <v>464</v>
      </c>
      <c r="B216" s="78">
        <v>0</v>
      </c>
      <c r="C216" s="78">
        <v>1</v>
      </c>
      <c r="D216" s="78">
        <v>0.16500000000000001</v>
      </c>
      <c r="E216" s="79">
        <f>D216*C216</f>
        <v>0.16500000000000001</v>
      </c>
    </row>
    <row r="217" spans="1:12" ht="15">
      <c r="A217" s="136" t="s">
        <v>465</v>
      </c>
      <c r="B217" s="78">
        <v>0</v>
      </c>
      <c r="C217" s="78">
        <v>0.19700000000000001</v>
      </c>
      <c r="D217" s="78">
        <v>0.16500000000000001</v>
      </c>
      <c r="E217" s="79">
        <f t="shared" si="35"/>
        <v>0</v>
      </c>
    </row>
    <row r="218" spans="1:12" ht="15">
      <c r="A218" s="136" t="s">
        <v>407</v>
      </c>
      <c r="B218" s="78"/>
      <c r="C218" s="78"/>
      <c r="D218" s="78"/>
      <c r="E218" s="79">
        <v>0.25</v>
      </c>
    </row>
    <row r="219" spans="1:12" ht="15.75" thickBot="1">
      <c r="A219" s="137"/>
      <c r="B219" s="80"/>
      <c r="C219" s="80"/>
      <c r="D219" s="80"/>
      <c r="E219" s="81"/>
    </row>
    <row r="220" spans="1:12" ht="13.5" thickBot="1">
      <c r="A220" s="921" t="s">
        <v>393</v>
      </c>
      <c r="B220" s="922"/>
      <c r="C220" s="922"/>
      <c r="D220" s="923"/>
      <c r="E220" s="111">
        <f>SUM(E212:E219)</f>
        <v>0.41500000000000004</v>
      </c>
    </row>
    <row r="221" spans="1:12" ht="13.5" thickBot="1"/>
    <row r="222" spans="1:12" ht="15.75" thickBot="1">
      <c r="A222" s="461" t="s">
        <v>489</v>
      </c>
      <c r="B222" s="469">
        <f>E228</f>
        <v>0</v>
      </c>
      <c r="C222" s="95" t="s">
        <v>66</v>
      </c>
      <c r="H222" s="328" t="str">
        <f>A222</f>
        <v>RC WALL</v>
      </c>
      <c r="I222" s="469">
        <f>L228</f>
        <v>0</v>
      </c>
      <c r="J222" s="95" t="s">
        <v>84</v>
      </c>
      <c r="K222" s="99"/>
    </row>
    <row r="223" spans="1:12" ht="13.5" thickBot="1"/>
    <row r="224" spans="1:12" ht="13.5" thickBot="1">
      <c r="A224" s="329" t="s">
        <v>382</v>
      </c>
      <c r="B224" s="331" t="s">
        <v>383</v>
      </c>
      <c r="C224" s="331" t="s">
        <v>384</v>
      </c>
      <c r="D224" s="331" t="s">
        <v>385</v>
      </c>
      <c r="E224" s="329" t="s">
        <v>386</v>
      </c>
      <c r="H224" s="329" t="s">
        <v>382</v>
      </c>
      <c r="I224" s="331" t="s">
        <v>383</v>
      </c>
      <c r="J224" s="331" t="s">
        <v>384</v>
      </c>
      <c r="K224" s="468"/>
      <c r="L224" s="332" t="s">
        <v>475</v>
      </c>
    </row>
    <row r="225" spans="1:21">
      <c r="A225" s="82"/>
      <c r="B225" s="82"/>
      <c r="C225" s="82"/>
      <c r="D225" s="82"/>
      <c r="E225" s="82"/>
      <c r="H225" s="82"/>
      <c r="I225" s="82"/>
      <c r="J225" s="82"/>
      <c r="K225" s="82"/>
      <c r="L225" s="82"/>
    </row>
    <row r="226" spans="1:21" ht="15">
      <c r="A226" s="123" t="str">
        <f>A232</f>
        <v>100mm tk</v>
      </c>
      <c r="B226" s="78">
        <f>N232</f>
        <v>0</v>
      </c>
      <c r="C226" s="78">
        <v>0</v>
      </c>
      <c r="D226" s="78">
        <v>0</v>
      </c>
      <c r="E226" s="79">
        <f>D226*C226*B226</f>
        <v>0</v>
      </c>
      <c r="H226" s="123" t="str">
        <f>A226</f>
        <v>100mm tk</v>
      </c>
      <c r="I226" s="78">
        <f>B226</f>
        <v>0</v>
      </c>
      <c r="J226" s="78">
        <f>C226+D226+D226</f>
        <v>0</v>
      </c>
      <c r="K226" s="78"/>
      <c r="L226" s="79">
        <f>J226*I226</f>
        <v>0</v>
      </c>
    </row>
    <row r="227" spans="1:21" ht="13.5" thickBot="1">
      <c r="A227" s="80"/>
      <c r="B227" s="80"/>
      <c r="C227" s="80"/>
      <c r="D227" s="80"/>
      <c r="E227" s="80"/>
      <c r="H227" s="80"/>
      <c r="I227" s="80"/>
      <c r="J227" s="80"/>
      <c r="K227" s="80"/>
      <c r="L227" s="80"/>
    </row>
    <row r="228" spans="1:21" ht="13.5" thickBot="1">
      <c r="A228" s="921" t="s">
        <v>393</v>
      </c>
      <c r="B228" s="924"/>
      <c r="C228" s="924"/>
      <c r="D228" s="925"/>
      <c r="E228" s="111">
        <f>SUM(E225:E227)</f>
        <v>0</v>
      </c>
      <c r="H228" s="947" t="s">
        <v>393</v>
      </c>
      <c r="I228" s="922"/>
      <c r="J228" s="923"/>
      <c r="L228" s="111">
        <f>SUM(L225:L227)</f>
        <v>0</v>
      </c>
    </row>
    <row r="230" spans="1:21" ht="13.5" thickBot="1"/>
    <row r="231" spans="1:21" ht="13.5" thickBot="1">
      <c r="A231" s="336" t="s">
        <v>490</v>
      </c>
    </row>
    <row r="232" spans="1:21">
      <c r="A232" s="596" t="s">
        <v>491</v>
      </c>
      <c r="B232" s="100">
        <v>0</v>
      </c>
      <c r="C232" s="100">
        <v>0</v>
      </c>
      <c r="D232" s="100">
        <v>0</v>
      </c>
      <c r="E232" s="100">
        <v>0</v>
      </c>
      <c r="F232" s="100">
        <v>0</v>
      </c>
      <c r="G232" s="100">
        <v>0</v>
      </c>
      <c r="H232" s="100">
        <v>0</v>
      </c>
      <c r="I232" s="100">
        <v>0</v>
      </c>
      <c r="J232" s="100">
        <v>0</v>
      </c>
      <c r="K232" s="100"/>
      <c r="L232" s="100">
        <v>0</v>
      </c>
      <c r="M232" s="100">
        <v>0</v>
      </c>
      <c r="N232" s="455">
        <f>SUM(B232:M232)</f>
        <v>0</v>
      </c>
    </row>
    <row r="233" spans="1:21" ht="13.5" thickBot="1"/>
    <row r="234" spans="1:21" ht="15.75" thickBot="1">
      <c r="A234" s="587" t="s">
        <v>436</v>
      </c>
    </row>
    <row r="235" spans="1:21" ht="15.75" thickBot="1">
      <c r="A235" s="328" t="s">
        <v>421</v>
      </c>
      <c r="B235" s="471">
        <f>F243</f>
        <v>9.1325000000000003</v>
      </c>
      <c r="C235" s="95" t="s">
        <v>66</v>
      </c>
      <c r="D235" s="451" t="s">
        <v>385</v>
      </c>
      <c r="E235" s="459">
        <v>3.25</v>
      </c>
      <c r="F235" s="121" t="s">
        <v>422</v>
      </c>
      <c r="H235" s="328" t="str">
        <f>A235</f>
        <v>COLUMN</v>
      </c>
      <c r="I235" s="472">
        <f>M243</f>
        <v>106.6</v>
      </c>
      <c r="J235" s="130" t="s">
        <v>84</v>
      </c>
      <c r="K235" s="130"/>
      <c r="L235" s="462" t="s">
        <v>385</v>
      </c>
      <c r="M235" s="452">
        <f>E235</f>
        <v>3.25</v>
      </c>
      <c r="N235" s="126" t="s">
        <v>422</v>
      </c>
      <c r="O235" s="328" t="str">
        <f>H235</f>
        <v>COLUMN</v>
      </c>
      <c r="P235" s="472">
        <f>S243</f>
        <v>15.619999999999997</v>
      </c>
      <c r="Q235" s="130" t="s">
        <v>84</v>
      </c>
      <c r="R235" s="653"/>
      <c r="S235" s="134"/>
      <c r="T235" s="654"/>
      <c r="U235" s="106"/>
    </row>
    <row r="236" spans="1:21" ht="13.5" thickBot="1"/>
    <row r="237" spans="1:21" s="127" customFormat="1" ht="16.5" customHeight="1" thickBot="1">
      <c r="A237" s="463" t="s">
        <v>382</v>
      </c>
      <c r="B237" s="464" t="s">
        <v>291</v>
      </c>
      <c r="C237" s="464" t="s">
        <v>383</v>
      </c>
      <c r="D237" s="464" t="s">
        <v>384</v>
      </c>
      <c r="E237" s="464" t="s">
        <v>385</v>
      </c>
      <c r="F237" s="465" t="s">
        <v>386</v>
      </c>
      <c r="H237" s="463" t="s">
        <v>382</v>
      </c>
      <c r="I237" s="464" t="s">
        <v>291</v>
      </c>
      <c r="J237" s="464" t="s">
        <v>383</v>
      </c>
      <c r="K237" s="464"/>
      <c r="L237" s="466" t="s">
        <v>385</v>
      </c>
      <c r="M237" s="467" t="s">
        <v>408</v>
      </c>
      <c r="O237" s="463" t="s">
        <v>382</v>
      </c>
      <c r="P237" s="464" t="s">
        <v>291</v>
      </c>
      <c r="Q237" s="464" t="s">
        <v>383</v>
      </c>
      <c r="R237" s="651" t="s">
        <v>384</v>
      </c>
      <c r="S237" s="652" t="s">
        <v>408</v>
      </c>
      <c r="T237" s="650"/>
    </row>
    <row r="238" spans="1:21">
      <c r="A238" s="82"/>
      <c r="B238" s="82"/>
      <c r="C238" s="82"/>
      <c r="D238" s="82"/>
      <c r="E238" s="82"/>
      <c r="F238" s="82"/>
      <c r="H238" s="82"/>
      <c r="I238" s="82"/>
      <c r="J238" s="82"/>
      <c r="K238" s="82"/>
      <c r="L238" s="82"/>
      <c r="M238" s="82"/>
      <c r="O238" s="82"/>
      <c r="P238" s="82"/>
      <c r="Q238" s="82"/>
      <c r="R238" s="213"/>
      <c r="S238" s="82"/>
      <c r="T238" s="74"/>
    </row>
    <row r="239" spans="1:21" ht="15">
      <c r="A239" s="123" t="s">
        <v>423</v>
      </c>
      <c r="B239" s="78">
        <v>8</v>
      </c>
      <c r="C239" s="78">
        <v>0.35</v>
      </c>
      <c r="D239" s="78">
        <v>0.35</v>
      </c>
      <c r="E239" s="78">
        <f>E235</f>
        <v>3.25</v>
      </c>
      <c r="F239" s="79">
        <f>E239*D239*C239*B239</f>
        <v>3.1849999999999996</v>
      </c>
      <c r="H239" s="123" t="str">
        <f t="shared" ref="H239:I241" si="36">A239</f>
        <v>C1</v>
      </c>
      <c r="I239" s="78">
        <f t="shared" si="36"/>
        <v>8</v>
      </c>
      <c r="J239" s="78">
        <f t="shared" ref="J239:J241" si="37">2*(C239+D239)</f>
        <v>1.4</v>
      </c>
      <c r="K239" s="78"/>
      <c r="L239" s="78">
        <f>M235</f>
        <v>3.25</v>
      </c>
      <c r="M239" s="79">
        <f>L239*J239*I239</f>
        <v>36.4</v>
      </c>
      <c r="O239" s="123" t="str">
        <f t="shared" ref="O239:O241" si="38">H239</f>
        <v>C1</v>
      </c>
      <c r="P239" s="78">
        <f>I239</f>
        <v>8</v>
      </c>
      <c r="Q239" s="78">
        <f>C239</f>
        <v>0.35</v>
      </c>
      <c r="R239" s="74">
        <f>D239</f>
        <v>0.35</v>
      </c>
      <c r="S239" s="79">
        <f>P239*Q239*R239</f>
        <v>0.97999999999999987</v>
      </c>
      <c r="T239" s="576"/>
    </row>
    <row r="240" spans="1:21" ht="15">
      <c r="A240" s="123" t="s">
        <v>424</v>
      </c>
      <c r="B240" s="78">
        <v>12</v>
      </c>
      <c r="C240" s="78">
        <v>0.35</v>
      </c>
      <c r="D240" s="78">
        <v>0.35</v>
      </c>
      <c r="E240" s="78">
        <f>E235</f>
        <v>3.25</v>
      </c>
      <c r="F240" s="79">
        <f>E240*D240*C240*B240</f>
        <v>4.7774999999999999</v>
      </c>
      <c r="H240" s="123" t="str">
        <f t="shared" si="36"/>
        <v>C2</v>
      </c>
      <c r="I240" s="78">
        <f t="shared" si="36"/>
        <v>12</v>
      </c>
      <c r="J240" s="78">
        <f t="shared" si="37"/>
        <v>1.4</v>
      </c>
      <c r="K240" s="78"/>
      <c r="L240" s="78">
        <f>M235</f>
        <v>3.25</v>
      </c>
      <c r="M240" s="79">
        <f>L240*J240*I240</f>
        <v>54.599999999999994</v>
      </c>
      <c r="O240" s="123" t="str">
        <f t="shared" si="38"/>
        <v>C2</v>
      </c>
      <c r="P240" s="78">
        <f>I240</f>
        <v>12</v>
      </c>
      <c r="Q240" s="78">
        <f t="shared" ref="Q240:Q241" si="39">2*(J240+K240)</f>
        <v>2.8</v>
      </c>
      <c r="R240" s="74">
        <f t="shared" ref="R240:R241" si="40">D240</f>
        <v>0.35</v>
      </c>
      <c r="S240" s="79">
        <f>P240*Q240*R240</f>
        <v>11.759999999999998</v>
      </c>
      <c r="T240" s="576"/>
    </row>
    <row r="241" spans="1:22" ht="15">
      <c r="A241" s="123" t="s">
        <v>425</v>
      </c>
      <c r="B241" s="78">
        <v>4</v>
      </c>
      <c r="C241" s="78">
        <v>0.3</v>
      </c>
      <c r="D241" s="78">
        <v>0.3</v>
      </c>
      <c r="E241" s="78">
        <f>E235</f>
        <v>3.25</v>
      </c>
      <c r="F241" s="79">
        <f>E241*D241*C241*B241</f>
        <v>1.17</v>
      </c>
      <c r="H241" s="123" t="str">
        <f t="shared" si="36"/>
        <v>C3</v>
      </c>
      <c r="I241" s="78">
        <f t="shared" si="36"/>
        <v>4</v>
      </c>
      <c r="J241" s="78">
        <f t="shared" si="37"/>
        <v>1.2</v>
      </c>
      <c r="K241" s="78"/>
      <c r="L241" s="78">
        <f>M235</f>
        <v>3.25</v>
      </c>
      <c r="M241" s="79">
        <f>L241*J241*I241</f>
        <v>15.6</v>
      </c>
      <c r="O241" s="123" t="str">
        <f t="shared" si="38"/>
        <v>C3</v>
      </c>
      <c r="P241" s="78">
        <f>I241</f>
        <v>4</v>
      </c>
      <c r="Q241" s="78">
        <f t="shared" si="39"/>
        <v>2.4</v>
      </c>
      <c r="R241" s="74">
        <f t="shared" si="40"/>
        <v>0.3</v>
      </c>
      <c r="S241" s="79">
        <f>P241*Q241*R241</f>
        <v>2.88</v>
      </c>
      <c r="T241" s="576"/>
    </row>
    <row r="242" spans="1:22" ht="15.75" thickBot="1">
      <c r="A242" s="123"/>
      <c r="B242" s="78"/>
      <c r="C242" s="78"/>
      <c r="D242" s="78"/>
      <c r="E242" s="78"/>
      <c r="F242" s="79"/>
      <c r="H242" s="124"/>
      <c r="I242" s="80"/>
      <c r="J242" s="80"/>
      <c r="K242" s="80"/>
      <c r="L242" s="80"/>
      <c r="M242" s="81"/>
      <c r="O242" s="124"/>
      <c r="P242" s="80"/>
      <c r="Q242" s="80"/>
      <c r="R242" s="219"/>
      <c r="S242" s="81"/>
      <c r="T242" s="576"/>
    </row>
    <row r="243" spans="1:22" ht="13.5" thickBot="1">
      <c r="A243" s="921" t="s">
        <v>393</v>
      </c>
      <c r="B243" s="922"/>
      <c r="C243" s="922"/>
      <c r="D243" s="922"/>
      <c r="E243" s="923"/>
      <c r="F243" s="111">
        <f>SUM(F238:F242)</f>
        <v>9.1325000000000003</v>
      </c>
      <c r="H243" s="921" t="s">
        <v>393</v>
      </c>
      <c r="I243" s="922"/>
      <c r="J243" s="922"/>
      <c r="K243" s="922"/>
      <c r="L243" s="923"/>
      <c r="M243" s="111">
        <f>SUM(M238:M242)</f>
        <v>106.6</v>
      </c>
      <c r="O243" s="921" t="s">
        <v>393</v>
      </c>
      <c r="P243" s="924"/>
      <c r="Q243" s="924"/>
      <c r="R243" s="925"/>
      <c r="S243" s="111">
        <f>SUM(S238:S242)</f>
        <v>15.619999999999997</v>
      </c>
      <c r="T243" s="260"/>
    </row>
    <row r="244" spans="1:22">
      <c r="A244" s="134"/>
      <c r="B244" s="135"/>
      <c r="C244" s="135"/>
      <c r="D244" s="135"/>
      <c r="E244" s="135"/>
      <c r="F244" s="101"/>
      <c r="H244" s="134"/>
      <c r="I244" s="135"/>
      <c r="J244" s="135"/>
      <c r="K244" s="135"/>
      <c r="L244" s="135"/>
      <c r="M244" s="101"/>
    </row>
    <row r="245" spans="1:22" ht="13.5" thickBot="1">
      <c r="A245" s="134"/>
      <c r="B245" s="135"/>
      <c r="C245" s="135"/>
      <c r="D245" s="135"/>
      <c r="E245" s="135"/>
      <c r="F245" s="101"/>
      <c r="H245" s="134"/>
      <c r="I245" s="135"/>
      <c r="J245" s="135"/>
      <c r="K245" s="135"/>
      <c r="L245" s="135"/>
      <c r="M245" s="101"/>
    </row>
    <row r="246" spans="1:22" ht="15.75" thickBot="1">
      <c r="A246" s="594" t="s">
        <v>438</v>
      </c>
      <c r="B246" s="469">
        <f>E253</f>
        <v>17.424225</v>
      </c>
      <c r="C246" s="95" t="s">
        <v>66</v>
      </c>
      <c r="H246" s="328" t="str">
        <f>A246</f>
        <v>ATTACHED BEAMS</v>
      </c>
      <c r="I246" s="469">
        <f>L253</f>
        <v>206.376</v>
      </c>
      <c r="J246" s="95" t="s">
        <v>84</v>
      </c>
      <c r="K246" s="211"/>
      <c r="O246" s="328" t="str">
        <f>H246</f>
        <v>ATTACHED BEAMS</v>
      </c>
      <c r="P246" s="472">
        <f>S253</f>
        <v>50.50500000000001</v>
      </c>
      <c r="Q246" s="130" t="s">
        <v>84</v>
      </c>
      <c r="R246" s="653"/>
      <c r="S246" s="134"/>
    </row>
    <row r="247" spans="1:22" ht="13.5" thickBot="1"/>
    <row r="248" spans="1:22" ht="13.5" thickBot="1">
      <c r="A248" s="329" t="s">
        <v>382</v>
      </c>
      <c r="B248" s="331" t="s">
        <v>383</v>
      </c>
      <c r="C248" s="331" t="s">
        <v>384</v>
      </c>
      <c r="D248" s="331" t="s">
        <v>385</v>
      </c>
      <c r="E248" s="332" t="s">
        <v>386</v>
      </c>
      <c r="H248" s="329" t="s">
        <v>382</v>
      </c>
      <c r="I248" s="331" t="s">
        <v>383</v>
      </c>
      <c r="J248" s="331" t="s">
        <v>384</v>
      </c>
      <c r="K248" s="468"/>
      <c r="L248" s="332" t="s">
        <v>387</v>
      </c>
      <c r="O248" s="463" t="s">
        <v>382</v>
      </c>
      <c r="P248" s="464" t="s">
        <v>291</v>
      </c>
      <c r="Q248" s="464" t="s">
        <v>383</v>
      </c>
      <c r="R248" s="651" t="s">
        <v>384</v>
      </c>
      <c r="S248" s="652" t="s">
        <v>408</v>
      </c>
    </row>
    <row r="249" spans="1:22">
      <c r="A249" s="82"/>
      <c r="B249" s="82"/>
      <c r="C249" s="82"/>
      <c r="D249" s="82"/>
      <c r="E249" s="82"/>
      <c r="H249" s="82"/>
      <c r="I249" s="82"/>
      <c r="J249" s="82"/>
      <c r="K249" s="82"/>
      <c r="L249" s="82"/>
      <c r="O249" s="82"/>
      <c r="P249" s="82"/>
      <c r="Q249" s="82"/>
      <c r="R249" s="213"/>
      <c r="S249" s="82"/>
    </row>
    <row r="250" spans="1:22" ht="15">
      <c r="A250" s="136" t="s">
        <v>522</v>
      </c>
      <c r="B250" s="78">
        <f>N256</f>
        <v>106.5</v>
      </c>
      <c r="C250" s="78">
        <v>0.25</v>
      </c>
      <c r="D250" s="78">
        <v>0.34499999999999997</v>
      </c>
      <c r="E250" s="79">
        <f>D250*C250*B250</f>
        <v>9.1856249999999999</v>
      </c>
      <c r="H250" s="123" t="str">
        <f t="shared" ref="H250:I251" si="41">A250</f>
        <v>B1,B2,B3,B4,B5</v>
      </c>
      <c r="I250" s="78">
        <f t="shared" si="41"/>
        <v>106.5</v>
      </c>
      <c r="J250" s="78">
        <f>C250+D250+D250</f>
        <v>0.94</v>
      </c>
      <c r="K250" s="78"/>
      <c r="L250" s="79">
        <f>J250*I250</f>
        <v>100.11</v>
      </c>
      <c r="O250" s="123" t="str">
        <f t="shared" ref="O250:O251" si="42">H250</f>
        <v>B1,B2,B3,B4,B5</v>
      </c>
      <c r="P250" s="78">
        <v>1</v>
      </c>
      <c r="Q250" s="78">
        <f>I250</f>
        <v>106.5</v>
      </c>
      <c r="R250" s="78">
        <f>C250</f>
        <v>0.25</v>
      </c>
      <c r="S250" s="79">
        <f>R250*Q250*P250</f>
        <v>26.625</v>
      </c>
    </row>
    <row r="251" spans="1:22" ht="15">
      <c r="A251" s="136" t="s">
        <v>525</v>
      </c>
      <c r="B251" s="78">
        <f>N257</f>
        <v>119.40000000000002</v>
      </c>
      <c r="C251" s="78">
        <v>0.2</v>
      </c>
      <c r="D251" s="78">
        <v>0.34499999999999997</v>
      </c>
      <c r="E251" s="79">
        <f t="shared" ref="E251" si="43">D251*C251*B251</f>
        <v>8.2385999999999999</v>
      </c>
      <c r="H251" s="123" t="str">
        <f t="shared" si="41"/>
        <v>B6 &amp; B7</v>
      </c>
      <c r="I251" s="78">
        <f t="shared" si="41"/>
        <v>119.40000000000002</v>
      </c>
      <c r="J251" s="78">
        <f>C251+D251+D251</f>
        <v>0.8899999999999999</v>
      </c>
      <c r="K251" s="78"/>
      <c r="L251" s="79">
        <f t="shared" ref="L251" si="44">J251*I251</f>
        <v>106.26600000000001</v>
      </c>
      <c r="O251" s="123" t="str">
        <f t="shared" si="42"/>
        <v>B6 &amp; B7</v>
      </c>
      <c r="P251" s="78">
        <v>1</v>
      </c>
      <c r="Q251" s="78">
        <f>I251</f>
        <v>119.40000000000002</v>
      </c>
      <c r="R251" s="78">
        <f>C251</f>
        <v>0.2</v>
      </c>
      <c r="S251" s="79">
        <f>R251*Q251*P251</f>
        <v>23.880000000000006</v>
      </c>
    </row>
    <row r="252" spans="1:22" ht="15.75" thickBot="1">
      <c r="A252" s="137"/>
      <c r="B252" s="80"/>
      <c r="C252" s="80"/>
      <c r="D252" s="80"/>
      <c r="E252" s="81"/>
      <c r="H252" s="124"/>
      <c r="I252" s="80"/>
      <c r="J252" s="80"/>
      <c r="K252" s="80"/>
      <c r="L252" s="81"/>
      <c r="O252" s="81"/>
      <c r="P252" s="80"/>
      <c r="Q252" s="80"/>
      <c r="R252" s="80"/>
      <c r="S252" s="80"/>
    </row>
    <row r="253" spans="1:22" ht="13.5" thickBot="1">
      <c r="A253" s="921" t="s">
        <v>393</v>
      </c>
      <c r="B253" s="922"/>
      <c r="C253" s="922"/>
      <c r="D253" s="923"/>
      <c r="E253" s="111">
        <f>SUM(E249:E252)</f>
        <v>17.424225</v>
      </c>
      <c r="H253" s="921" t="s">
        <v>393</v>
      </c>
      <c r="I253" s="922"/>
      <c r="J253" s="923"/>
      <c r="K253" s="205"/>
      <c r="L253" s="111">
        <f>SUM(L249:L252)</f>
        <v>206.376</v>
      </c>
      <c r="O253" s="921" t="s">
        <v>393</v>
      </c>
      <c r="P253" s="924"/>
      <c r="Q253" s="924"/>
      <c r="R253" s="925"/>
      <c r="S253" s="111">
        <f>SUM(S248:S252)</f>
        <v>50.50500000000001</v>
      </c>
    </row>
    <row r="254" spans="1:22" ht="15.75" thickBot="1">
      <c r="A254" s="102"/>
      <c r="F254" s="102"/>
      <c r="G254" s="99"/>
    </row>
    <row r="255" spans="1:22">
      <c r="A255" s="336" t="s">
        <v>440</v>
      </c>
    </row>
    <row r="256" spans="1:22">
      <c r="A256" s="103" t="str">
        <f>A250</f>
        <v>B1,B2,B3,B4,B5</v>
      </c>
      <c r="B256" s="100">
        <f>17.95*2</f>
        <v>35.9</v>
      </c>
      <c r="C256" s="100">
        <f>4*6.125</f>
        <v>24.5</v>
      </c>
      <c r="D256" s="100">
        <f>4*5.825</f>
        <v>23.3</v>
      </c>
      <c r="E256" s="100">
        <f>4*5.7</f>
        <v>22.8</v>
      </c>
      <c r="F256" s="100">
        <v>0</v>
      </c>
      <c r="G256" s="100"/>
      <c r="H256" s="100"/>
      <c r="I256" s="100"/>
      <c r="J256" s="100"/>
      <c r="K256" s="100"/>
      <c r="L256" s="100"/>
      <c r="M256" s="100"/>
      <c r="N256" s="649">
        <f>SUM(B256:M256)</f>
        <v>106.5</v>
      </c>
      <c r="O256" s="655"/>
      <c r="P256" s="656"/>
      <c r="Q256" s="656"/>
      <c r="R256" s="656"/>
      <c r="S256" s="656"/>
      <c r="T256" s="656"/>
      <c r="U256" s="657"/>
      <c r="V256" s="101"/>
    </row>
    <row r="257" spans="1:22">
      <c r="A257" s="103" t="str">
        <f>A251</f>
        <v>B6 &amp; B7</v>
      </c>
      <c r="B257" s="100">
        <v>30.35</v>
      </c>
      <c r="C257" s="100">
        <v>30.35</v>
      </c>
      <c r="D257" s="100">
        <v>17.95</v>
      </c>
      <c r="E257" s="100">
        <v>17.95</v>
      </c>
      <c r="F257" s="100">
        <f>5.7*2</f>
        <v>11.4</v>
      </c>
      <c r="G257" s="100">
        <f>2*5.7</f>
        <v>11.4</v>
      </c>
      <c r="H257" s="100">
        <v>0</v>
      </c>
      <c r="I257" s="100">
        <v>0</v>
      </c>
      <c r="J257" s="100"/>
      <c r="K257" s="100"/>
      <c r="L257" s="100"/>
      <c r="M257" s="100"/>
      <c r="N257" s="649">
        <f>SUM(B257:M257)</f>
        <v>119.40000000000002</v>
      </c>
      <c r="O257" s="655"/>
      <c r="P257" s="656"/>
      <c r="Q257" s="656"/>
      <c r="R257" s="656"/>
      <c r="S257" s="656"/>
      <c r="T257" s="656"/>
      <c r="U257" s="657"/>
      <c r="V257" s="101"/>
    </row>
    <row r="258" spans="1:22" ht="15">
      <c r="A258" s="322"/>
      <c r="N258" s="760"/>
      <c r="U258" s="101"/>
      <c r="V258" s="101"/>
    </row>
    <row r="259" spans="1:22" ht="13.5" thickBot="1"/>
    <row r="260" spans="1:22" ht="15.75" thickBot="1">
      <c r="A260" s="461" t="s">
        <v>441</v>
      </c>
      <c r="B260" s="469">
        <f>D266-D271</f>
        <v>73.941199999999995</v>
      </c>
      <c r="C260" s="95" t="s">
        <v>66</v>
      </c>
      <c r="H260" s="328" t="str">
        <f>A260</f>
        <v>SLAB</v>
      </c>
      <c r="I260" s="469">
        <f>L266-L271</f>
        <v>446.84619999999995</v>
      </c>
      <c r="J260" s="95" t="s">
        <v>84</v>
      </c>
      <c r="K260" s="211"/>
    </row>
    <row r="261" spans="1:22" ht="13.5" thickBot="1"/>
    <row r="262" spans="1:22" ht="13.5" thickBot="1">
      <c r="A262" s="329" t="s">
        <v>382</v>
      </c>
      <c r="B262" s="331" t="s">
        <v>409</v>
      </c>
      <c r="C262" s="331" t="s">
        <v>385</v>
      </c>
      <c r="D262" s="331" t="s">
        <v>386</v>
      </c>
      <c r="H262" s="329" t="s">
        <v>382</v>
      </c>
      <c r="I262" s="331" t="s">
        <v>383</v>
      </c>
      <c r="J262" s="330" t="s">
        <v>442</v>
      </c>
      <c r="K262" s="468"/>
      <c r="L262" s="332" t="s">
        <v>443</v>
      </c>
    </row>
    <row r="263" spans="1:22">
      <c r="A263" s="213"/>
      <c r="B263" s="82"/>
      <c r="C263" s="82"/>
      <c r="D263" s="82"/>
      <c r="H263" s="213"/>
      <c r="I263" s="213"/>
      <c r="J263" s="82"/>
      <c r="K263" s="214"/>
      <c r="L263" s="215"/>
    </row>
    <row r="264" spans="1:22" ht="15">
      <c r="A264" s="323" t="s">
        <v>524</v>
      </c>
      <c r="B264" s="72">
        <f>L275</f>
        <v>556.91999999999996</v>
      </c>
      <c r="C264" s="78">
        <v>0.155</v>
      </c>
      <c r="D264" s="79">
        <f>C264*B264</f>
        <v>86.322599999999994</v>
      </c>
      <c r="H264" s="216" t="str">
        <f>A264</f>
        <v>155mm tk Slab</v>
      </c>
      <c r="I264" s="74">
        <f>B264</f>
        <v>556.91999999999996</v>
      </c>
      <c r="J264" s="78">
        <v>0</v>
      </c>
      <c r="K264" s="96"/>
      <c r="L264" s="217">
        <f>I264</f>
        <v>556.91999999999996</v>
      </c>
    </row>
    <row r="265" spans="1:22" ht="15.75" thickBot="1">
      <c r="A265" s="323"/>
      <c r="B265" s="78"/>
      <c r="C265" s="78"/>
      <c r="D265" s="79"/>
      <c r="H265" s="323" t="s">
        <v>446</v>
      </c>
      <c r="I265" s="74">
        <f>L281+L282</f>
        <v>131.04000000000002</v>
      </c>
      <c r="J265" s="78">
        <v>0.155</v>
      </c>
      <c r="L265" s="217">
        <f>J265*I265</f>
        <v>20.311200000000003</v>
      </c>
    </row>
    <row r="266" spans="1:22" ht="15.75" thickBot="1">
      <c r="A266" s="216"/>
      <c r="B266" s="78"/>
      <c r="C266" s="78"/>
      <c r="D266" s="224">
        <f>SUM(D264:D264)</f>
        <v>86.322599999999994</v>
      </c>
      <c r="H266" s="216"/>
      <c r="I266" s="74"/>
      <c r="J266" s="78"/>
      <c r="L266" s="224">
        <f>SUM(L264:L265)</f>
        <v>577.23119999999994</v>
      </c>
    </row>
    <row r="267" spans="1:22" ht="15">
      <c r="A267" s="218" t="s">
        <v>447</v>
      </c>
      <c r="B267" s="78"/>
      <c r="C267" s="78"/>
      <c r="D267" s="217"/>
      <c r="H267" s="218" t="s">
        <v>447</v>
      </c>
      <c r="I267" s="74"/>
      <c r="J267" s="78"/>
      <c r="L267" s="217"/>
    </row>
    <row r="268" spans="1:22" ht="15">
      <c r="A268" s="216" t="s">
        <v>449</v>
      </c>
      <c r="B268" s="72">
        <f>L277</f>
        <v>0</v>
      </c>
      <c r="C268" s="78">
        <v>0.155</v>
      </c>
      <c r="D268" s="79">
        <f>C268*B268</f>
        <v>0</v>
      </c>
      <c r="H268" s="216" t="s">
        <v>449</v>
      </c>
      <c r="I268" s="74">
        <v>1</v>
      </c>
      <c r="J268" s="78">
        <v>0</v>
      </c>
      <c r="L268" s="217">
        <f>J268*I268</f>
        <v>0</v>
      </c>
    </row>
    <row r="269" spans="1:22" ht="15">
      <c r="A269" s="323" t="s">
        <v>450</v>
      </c>
      <c r="B269" s="78">
        <f>L278</f>
        <v>64.260000000000005</v>
      </c>
      <c r="C269" s="78">
        <v>0.155</v>
      </c>
      <c r="D269" s="217">
        <f>C269*B269</f>
        <v>9.9603000000000002</v>
      </c>
      <c r="H269" s="216" t="s">
        <v>451</v>
      </c>
      <c r="I269" s="74">
        <v>1</v>
      </c>
      <c r="J269" s="78">
        <f>B269</f>
        <v>64.260000000000005</v>
      </c>
      <c r="L269" s="217">
        <f>J269*I269</f>
        <v>64.260000000000005</v>
      </c>
    </row>
    <row r="270" spans="1:22" ht="15.75" thickBot="1">
      <c r="A270" s="323" t="s">
        <v>452</v>
      </c>
      <c r="B270" s="78">
        <f>P235</f>
        <v>15.619999999999997</v>
      </c>
      <c r="C270" s="78">
        <v>0.155</v>
      </c>
      <c r="D270" s="217">
        <f>C270*B270</f>
        <v>2.4210999999999996</v>
      </c>
      <c r="H270" s="323" t="s">
        <v>453</v>
      </c>
      <c r="I270" s="74">
        <v>1</v>
      </c>
      <c r="J270" s="78">
        <f>P246+P235</f>
        <v>66.125</v>
      </c>
      <c r="L270" s="217">
        <f>J270*I270</f>
        <v>66.125</v>
      </c>
      <c r="M270" s="223"/>
    </row>
    <row r="271" spans="1:22" ht="15.75" thickBot="1">
      <c r="A271" s="216"/>
      <c r="B271" s="78"/>
      <c r="C271" s="78"/>
      <c r="D271" s="224">
        <f>SUM(D268:D270)</f>
        <v>12.381399999999999</v>
      </c>
      <c r="H271" s="216"/>
      <c r="I271" s="74"/>
      <c r="J271" s="78"/>
      <c r="L271" s="224">
        <f>SUM(L268:L270)</f>
        <v>130.38499999999999</v>
      </c>
    </row>
    <row r="272" spans="1:22" ht="13.5" thickBot="1">
      <c r="A272" s="219"/>
      <c r="B272" s="80"/>
      <c r="C272" s="80"/>
      <c r="D272" s="221"/>
      <c r="H272" s="219"/>
      <c r="I272" s="219"/>
      <c r="J272" s="80"/>
      <c r="K272" s="220"/>
      <c r="L272" s="221"/>
    </row>
    <row r="273" spans="1:22" ht="13.5" thickBot="1"/>
    <row r="274" spans="1:22" ht="13.5" thickBot="1">
      <c r="A274" s="336" t="s">
        <v>454</v>
      </c>
    </row>
    <row r="275" spans="1:22" ht="15">
      <c r="A275" s="103" t="str">
        <f>A264</f>
        <v>155mm tk Slab</v>
      </c>
      <c r="B275" s="100">
        <v>556.91999999999996</v>
      </c>
      <c r="C275" s="100">
        <v>0</v>
      </c>
      <c r="D275" s="100">
        <v>0</v>
      </c>
      <c r="E275" s="100">
        <v>0</v>
      </c>
      <c r="F275" s="100">
        <v>0</v>
      </c>
      <c r="G275" s="100">
        <v>0</v>
      </c>
      <c r="H275" s="100">
        <v>0</v>
      </c>
      <c r="I275" s="100">
        <v>0</v>
      </c>
      <c r="J275" s="100">
        <v>0</v>
      </c>
      <c r="K275" s="100"/>
      <c r="L275" s="455">
        <f>SUM(B275:J275)</f>
        <v>556.91999999999996</v>
      </c>
      <c r="M275" s="595"/>
      <c r="N275" s="760"/>
      <c r="V275" s="101"/>
    </row>
    <row r="276" spans="1:22" ht="15.75" thickBot="1">
      <c r="A276" s="222" t="str">
        <f>A267</f>
        <v>Deduction</v>
      </c>
    </row>
    <row r="277" spans="1:22" ht="15.75" thickBot="1">
      <c r="A277" s="103" t="str">
        <f>A268</f>
        <v>Lift Void</v>
      </c>
      <c r="B277" s="100">
        <v>0</v>
      </c>
      <c r="C277" s="100">
        <v>0</v>
      </c>
      <c r="D277" s="100">
        <v>0</v>
      </c>
      <c r="E277" s="100">
        <v>0</v>
      </c>
      <c r="F277" s="100">
        <v>0</v>
      </c>
      <c r="G277" s="100">
        <v>0</v>
      </c>
      <c r="H277" s="100">
        <v>0</v>
      </c>
      <c r="I277" s="100">
        <v>0</v>
      </c>
      <c r="J277" s="100">
        <v>0</v>
      </c>
      <c r="K277" s="100"/>
      <c r="L277" s="455">
        <f>SUM(B277:J277)</f>
        <v>0</v>
      </c>
      <c r="M277" s="595"/>
      <c r="N277" s="760"/>
      <c r="V277" s="101"/>
    </row>
    <row r="278" spans="1:22" ht="15">
      <c r="A278" s="103" t="str">
        <f>A269</f>
        <v>Stair Well &amp; Voids</v>
      </c>
      <c r="B278" s="100">
        <v>64.260000000000005</v>
      </c>
      <c r="C278" s="100">
        <v>0</v>
      </c>
      <c r="D278" s="100">
        <v>0</v>
      </c>
      <c r="E278" s="100">
        <v>0</v>
      </c>
      <c r="F278" s="100">
        <v>0</v>
      </c>
      <c r="G278" s="100">
        <v>0</v>
      </c>
      <c r="H278" s="100">
        <v>0</v>
      </c>
      <c r="I278" s="100">
        <v>0</v>
      </c>
      <c r="J278" s="100">
        <v>0</v>
      </c>
      <c r="K278" s="100"/>
      <c r="L278" s="455">
        <f>SUM(B278:J278)</f>
        <v>64.260000000000005</v>
      </c>
      <c r="M278" s="595"/>
      <c r="N278" s="760"/>
      <c r="V278" s="101"/>
    </row>
    <row r="279" spans="1:22" ht="13.5" thickBot="1"/>
    <row r="280" spans="1:22" ht="13.5" thickBot="1">
      <c r="A280" s="336" t="s">
        <v>455</v>
      </c>
    </row>
    <row r="281" spans="1:22" ht="15.75" thickBot="1">
      <c r="A281" s="103" t="s">
        <v>456</v>
      </c>
      <c r="B281" s="100">
        <v>97.4</v>
      </c>
      <c r="C281" s="100">
        <v>0</v>
      </c>
      <c r="D281" s="100">
        <v>0</v>
      </c>
      <c r="E281" s="100">
        <v>0</v>
      </c>
      <c r="F281" s="100">
        <v>0</v>
      </c>
      <c r="G281" s="100">
        <v>0</v>
      </c>
      <c r="H281" s="100">
        <v>0</v>
      </c>
      <c r="I281" s="100">
        <v>0</v>
      </c>
      <c r="J281" s="100">
        <v>0</v>
      </c>
      <c r="K281" s="100"/>
      <c r="L281" s="455">
        <f>SUM(B281:J281)</f>
        <v>97.4</v>
      </c>
      <c r="M281" s="595"/>
      <c r="N281" s="760"/>
      <c r="V281" s="101"/>
    </row>
    <row r="282" spans="1:22" ht="15.75" thickBot="1">
      <c r="A282" s="103" t="s">
        <v>457</v>
      </c>
      <c r="B282" s="100">
        <v>33.64</v>
      </c>
      <c r="C282" s="100">
        <v>0</v>
      </c>
      <c r="D282" s="100">
        <v>0</v>
      </c>
      <c r="E282" s="100">
        <v>0</v>
      </c>
      <c r="F282" s="100">
        <v>0</v>
      </c>
      <c r="G282" s="100">
        <v>0</v>
      </c>
      <c r="H282" s="100">
        <v>0</v>
      </c>
      <c r="I282" s="100">
        <v>0</v>
      </c>
      <c r="J282" s="100">
        <v>0</v>
      </c>
      <c r="K282" s="100"/>
      <c r="L282" s="455">
        <f>SUM(B282:J282)</f>
        <v>33.64</v>
      </c>
      <c r="M282" s="595"/>
      <c r="N282" s="760"/>
      <c r="V282" s="101"/>
    </row>
    <row r="283" spans="1:22" ht="15">
      <c r="A283" s="103" t="s">
        <v>458</v>
      </c>
      <c r="B283" s="100">
        <v>0</v>
      </c>
      <c r="C283" s="100">
        <v>0</v>
      </c>
      <c r="D283" s="100">
        <v>0</v>
      </c>
      <c r="E283" s="100">
        <v>0</v>
      </c>
      <c r="F283" s="100">
        <v>0</v>
      </c>
      <c r="G283" s="100">
        <v>0</v>
      </c>
      <c r="H283" s="100">
        <v>0</v>
      </c>
      <c r="I283" s="100">
        <v>0</v>
      </c>
      <c r="J283" s="100">
        <v>0</v>
      </c>
      <c r="K283" s="100"/>
      <c r="L283" s="455">
        <f>SUM(B283:J283)</f>
        <v>0</v>
      </c>
      <c r="M283" s="595"/>
      <c r="N283" s="760"/>
      <c r="V283" s="101"/>
    </row>
    <row r="284" spans="1:22" ht="13.5" thickBot="1"/>
    <row r="285" spans="1:22" ht="15.75" thickBot="1">
      <c r="A285" s="461" t="s">
        <v>459</v>
      </c>
      <c r="B285" s="469">
        <f>E296</f>
        <v>0</v>
      </c>
      <c r="C285" s="95" t="s">
        <v>66</v>
      </c>
    </row>
    <row r="286" spans="1:22" ht="13.5" thickBot="1"/>
    <row r="287" spans="1:22" ht="13.5" thickBot="1">
      <c r="A287" s="329" t="s">
        <v>382</v>
      </c>
      <c r="B287" s="331" t="s">
        <v>383</v>
      </c>
      <c r="C287" s="331" t="s">
        <v>384</v>
      </c>
      <c r="D287" s="330" t="s">
        <v>460</v>
      </c>
      <c r="E287" s="332" t="s">
        <v>386</v>
      </c>
    </row>
    <row r="288" spans="1:22">
      <c r="A288" s="82"/>
      <c r="B288" s="82"/>
      <c r="C288" s="82"/>
      <c r="D288" s="82"/>
      <c r="E288" s="82"/>
    </row>
    <row r="289" spans="1:12" ht="15">
      <c r="A289" s="136" t="s">
        <v>461</v>
      </c>
      <c r="B289" s="78">
        <v>0</v>
      </c>
      <c r="C289" s="78">
        <v>0</v>
      </c>
      <c r="D289" s="78">
        <v>0.15</v>
      </c>
      <c r="E289" s="79">
        <f>D289*C289*B289</f>
        <v>0</v>
      </c>
    </row>
    <row r="290" spans="1:12" ht="15">
      <c r="A290" s="136" t="s">
        <v>462</v>
      </c>
      <c r="B290" s="78">
        <v>0</v>
      </c>
      <c r="C290" s="78">
        <v>0</v>
      </c>
      <c r="D290" s="78">
        <v>0.15</v>
      </c>
      <c r="E290" s="79">
        <f>D290*C290*B290</f>
        <v>0</v>
      </c>
    </row>
    <row r="291" spans="1:12" ht="15">
      <c r="A291" s="136" t="s">
        <v>463</v>
      </c>
      <c r="B291" s="78">
        <v>0</v>
      </c>
      <c r="C291" s="78">
        <v>0</v>
      </c>
      <c r="D291" s="78">
        <v>0.16500000000000001</v>
      </c>
      <c r="E291" s="79">
        <f t="shared" ref="E291" si="45">D291*C291*B291</f>
        <v>0</v>
      </c>
    </row>
    <row r="292" spans="1:12" ht="15">
      <c r="A292" s="136" t="s">
        <v>464</v>
      </c>
      <c r="B292" s="78">
        <v>0</v>
      </c>
      <c r="C292" s="78">
        <v>0</v>
      </c>
      <c r="D292" s="78">
        <v>0.16500000000000001</v>
      </c>
      <c r="E292" s="79">
        <f>D292*C292</f>
        <v>0</v>
      </c>
    </row>
    <row r="293" spans="1:12" ht="15">
      <c r="A293" s="136" t="s">
        <v>465</v>
      </c>
      <c r="B293" s="78">
        <v>0</v>
      </c>
      <c r="C293" s="78">
        <v>0</v>
      </c>
      <c r="D293" s="78">
        <v>0.16500000000000001</v>
      </c>
      <c r="E293" s="79">
        <f t="shared" ref="E293" si="46">D293*C293*B293</f>
        <v>0</v>
      </c>
    </row>
    <row r="294" spans="1:12" ht="15">
      <c r="A294" s="136" t="s">
        <v>407</v>
      </c>
      <c r="B294" s="78"/>
      <c r="C294" s="78"/>
      <c r="D294" s="78"/>
      <c r="E294" s="79">
        <v>0</v>
      </c>
    </row>
    <row r="295" spans="1:12" ht="15.75" thickBot="1">
      <c r="A295" s="137"/>
      <c r="B295" s="80"/>
      <c r="C295" s="80"/>
      <c r="D295" s="80"/>
      <c r="E295" s="81"/>
    </row>
    <row r="296" spans="1:12" ht="13.5" thickBot="1">
      <c r="A296" s="921" t="s">
        <v>393</v>
      </c>
      <c r="B296" s="922"/>
      <c r="C296" s="922"/>
      <c r="D296" s="923"/>
      <c r="E296" s="111">
        <f>SUM(E288:E295)</f>
        <v>0</v>
      </c>
    </row>
    <row r="297" spans="1:12" ht="13.5" thickBot="1"/>
    <row r="298" spans="1:12" ht="15.75" thickBot="1">
      <c r="A298" s="461" t="s">
        <v>489</v>
      </c>
      <c r="B298" s="469">
        <f>E304</f>
        <v>0</v>
      </c>
      <c r="C298" s="95" t="s">
        <v>66</v>
      </c>
      <c r="H298" s="328" t="str">
        <f>A298</f>
        <v>RC WALL</v>
      </c>
      <c r="I298" s="469">
        <f>L304</f>
        <v>0</v>
      </c>
      <c r="J298" s="95" t="s">
        <v>84</v>
      </c>
      <c r="K298" s="99"/>
    </row>
    <row r="299" spans="1:12" ht="13.5" thickBot="1"/>
    <row r="300" spans="1:12" ht="13.5" thickBot="1">
      <c r="A300" s="329" t="s">
        <v>382</v>
      </c>
      <c r="B300" s="331" t="s">
        <v>383</v>
      </c>
      <c r="C300" s="331" t="s">
        <v>384</v>
      </c>
      <c r="D300" s="331" t="s">
        <v>385</v>
      </c>
      <c r="E300" s="329" t="s">
        <v>386</v>
      </c>
      <c r="H300" s="329" t="s">
        <v>382</v>
      </c>
      <c r="I300" s="331" t="s">
        <v>383</v>
      </c>
      <c r="J300" s="331" t="s">
        <v>384</v>
      </c>
      <c r="K300" s="468"/>
      <c r="L300" s="332" t="s">
        <v>475</v>
      </c>
    </row>
    <row r="301" spans="1:12">
      <c r="A301" s="82"/>
      <c r="B301" s="82"/>
      <c r="C301" s="82"/>
      <c r="D301" s="82"/>
      <c r="E301" s="82"/>
      <c r="H301" s="82"/>
      <c r="I301" s="82"/>
      <c r="J301" s="82"/>
      <c r="K301" s="82"/>
      <c r="L301" s="82"/>
    </row>
    <row r="302" spans="1:12" ht="15">
      <c r="A302" s="123" t="str">
        <f>A308</f>
        <v>100mm tk</v>
      </c>
      <c r="B302" s="78">
        <f>N308</f>
        <v>0</v>
      </c>
      <c r="C302" s="78">
        <v>0</v>
      </c>
      <c r="D302" s="78">
        <v>0</v>
      </c>
      <c r="E302" s="79">
        <f>D302*C302*B302</f>
        <v>0</v>
      </c>
      <c r="H302" s="123" t="str">
        <f>A302</f>
        <v>100mm tk</v>
      </c>
      <c r="I302" s="78">
        <f>B302</f>
        <v>0</v>
      </c>
      <c r="J302" s="78">
        <f>C302+D302+D302</f>
        <v>0</v>
      </c>
      <c r="K302" s="78"/>
      <c r="L302" s="79">
        <f>J302*I302</f>
        <v>0</v>
      </c>
    </row>
    <row r="303" spans="1:12" ht="13.5" thickBot="1">
      <c r="A303" s="80"/>
      <c r="B303" s="80"/>
      <c r="C303" s="80"/>
      <c r="D303" s="80"/>
      <c r="E303" s="80"/>
      <c r="H303" s="80"/>
      <c r="I303" s="80"/>
      <c r="J303" s="80"/>
      <c r="K303" s="80"/>
      <c r="L303" s="80"/>
    </row>
    <row r="304" spans="1:12" ht="13.5" thickBot="1">
      <c r="A304" s="921" t="s">
        <v>393</v>
      </c>
      <c r="B304" s="924"/>
      <c r="C304" s="924"/>
      <c r="D304" s="925"/>
      <c r="E304" s="111">
        <f>SUM(E301:E303)</f>
        <v>0</v>
      </c>
      <c r="H304" s="947" t="s">
        <v>393</v>
      </c>
      <c r="I304" s="922"/>
      <c r="J304" s="923"/>
      <c r="L304" s="111">
        <f>SUM(L301:L303)</f>
        <v>0</v>
      </c>
    </row>
    <row r="306" spans="1:14" ht="13.5" thickBot="1"/>
    <row r="307" spans="1:14" ht="13.5" thickBot="1">
      <c r="A307" s="336" t="s">
        <v>490</v>
      </c>
    </row>
    <row r="308" spans="1:14">
      <c r="A308" s="596" t="s">
        <v>491</v>
      </c>
      <c r="B308" s="100">
        <v>0</v>
      </c>
      <c r="C308" s="100">
        <v>0</v>
      </c>
      <c r="D308" s="100">
        <v>0</v>
      </c>
      <c r="E308" s="100">
        <v>0</v>
      </c>
      <c r="F308" s="100">
        <v>0</v>
      </c>
      <c r="G308" s="100">
        <v>0</v>
      </c>
      <c r="H308" s="100">
        <v>0</v>
      </c>
      <c r="I308" s="100">
        <v>0</v>
      </c>
      <c r="J308" s="100">
        <v>0</v>
      </c>
      <c r="K308" s="100"/>
      <c r="L308" s="100">
        <v>0</v>
      </c>
      <c r="M308" s="100">
        <v>0</v>
      </c>
      <c r="N308" s="455">
        <f>SUM(B308:M308)</f>
        <v>0</v>
      </c>
    </row>
    <row r="593" spans="1:14" ht="13.5" thickBot="1"/>
    <row r="594" spans="1:14" ht="15.75" thickBot="1">
      <c r="A594" s="206" t="s">
        <v>436</v>
      </c>
    </row>
    <row r="595" spans="1:14" ht="15.75" thickBot="1">
      <c r="A595" s="94" t="s">
        <v>421</v>
      </c>
      <c r="B595" s="128">
        <f>F603</f>
        <v>2.8500000000000005</v>
      </c>
      <c r="C595" s="95" t="s">
        <v>66</v>
      </c>
      <c r="D595" s="226" t="s">
        <v>385</v>
      </c>
      <c r="E595" s="120">
        <v>3</v>
      </c>
      <c r="F595" s="121" t="s">
        <v>422</v>
      </c>
      <c r="H595" s="94" t="s">
        <v>421</v>
      </c>
      <c r="I595" s="129">
        <f>M603</f>
        <v>7.2000000000000011</v>
      </c>
      <c r="J595" s="130" t="s">
        <v>84</v>
      </c>
      <c r="K595" s="130"/>
      <c r="L595" s="225" t="s">
        <v>385</v>
      </c>
      <c r="M595" s="112">
        <v>3</v>
      </c>
      <c r="N595" s="126" t="s">
        <v>422</v>
      </c>
    </row>
    <row r="596" spans="1:14" ht="13.5" thickBot="1"/>
    <row r="597" spans="1:14" s="127" customFormat="1" ht="16.5" customHeight="1" thickBot="1">
      <c r="A597" s="131" t="s">
        <v>382</v>
      </c>
      <c r="B597" s="132" t="s">
        <v>291</v>
      </c>
      <c r="C597" s="132" t="s">
        <v>383</v>
      </c>
      <c r="D597" s="132" t="s">
        <v>384</v>
      </c>
      <c r="E597" s="132" t="s">
        <v>385</v>
      </c>
      <c r="F597" s="133" t="s">
        <v>386</v>
      </c>
      <c r="H597" s="131" t="s">
        <v>382</v>
      </c>
      <c r="I597" s="132" t="s">
        <v>291</v>
      </c>
      <c r="J597" s="132" t="s">
        <v>383</v>
      </c>
      <c r="K597" s="132"/>
      <c r="L597" s="207" t="s">
        <v>385</v>
      </c>
      <c r="M597" s="133" t="s">
        <v>386</v>
      </c>
    </row>
    <row r="598" spans="1:14">
      <c r="A598" s="82"/>
      <c r="B598" s="82"/>
      <c r="C598" s="82"/>
      <c r="D598" s="82"/>
      <c r="E598" s="82"/>
      <c r="F598" s="82"/>
      <c r="H598" s="82"/>
      <c r="I598" s="82"/>
      <c r="J598" s="82"/>
      <c r="K598" s="82"/>
      <c r="L598" s="82"/>
      <c r="M598" s="82"/>
    </row>
    <row r="599" spans="1:14" ht="15">
      <c r="A599" s="123" t="s">
        <v>423</v>
      </c>
      <c r="B599" s="78">
        <v>13</v>
      </c>
      <c r="C599" s="78">
        <v>0.3</v>
      </c>
      <c r="D599" s="78">
        <v>0.2</v>
      </c>
      <c r="E599" s="78">
        <f>E595</f>
        <v>3</v>
      </c>
      <c r="F599" s="79">
        <f>E599*D599*C599*B599</f>
        <v>2.3400000000000003</v>
      </c>
      <c r="H599" s="123" t="s">
        <v>423</v>
      </c>
      <c r="I599" s="78">
        <f>B599</f>
        <v>13</v>
      </c>
      <c r="J599" s="78">
        <f>2*(C599+D599)</f>
        <v>1</v>
      </c>
      <c r="K599" s="78"/>
      <c r="L599" s="78">
        <f>M595</f>
        <v>3</v>
      </c>
      <c r="M599" s="79">
        <f>L599*J599*I599</f>
        <v>39</v>
      </c>
    </row>
    <row r="600" spans="1:14" ht="15">
      <c r="A600" s="123" t="s">
        <v>424</v>
      </c>
      <c r="B600" s="78">
        <v>1</v>
      </c>
      <c r="C600" s="78">
        <v>0.25</v>
      </c>
      <c r="D600" s="78">
        <v>0.2</v>
      </c>
      <c r="E600" s="78">
        <f>E595</f>
        <v>3</v>
      </c>
      <c r="F600" s="79">
        <f>E600*D600*C600*B600</f>
        <v>0.15000000000000002</v>
      </c>
      <c r="H600" s="123" t="s">
        <v>424</v>
      </c>
      <c r="I600" s="78">
        <f>B600</f>
        <v>1</v>
      </c>
      <c r="J600" s="78">
        <f t="shared" ref="J600:J601" si="47">2*(C600+D600)</f>
        <v>0.9</v>
      </c>
      <c r="K600" s="78"/>
      <c r="L600" s="78">
        <f>M595</f>
        <v>3</v>
      </c>
      <c r="M600" s="79">
        <f>L600*J600*I600</f>
        <v>2.7</v>
      </c>
    </row>
    <row r="601" spans="1:14" ht="15">
      <c r="A601" s="123" t="s">
        <v>425</v>
      </c>
      <c r="B601" s="78">
        <v>3</v>
      </c>
      <c r="C601" s="78">
        <v>0.2</v>
      </c>
      <c r="D601" s="78">
        <v>0.2</v>
      </c>
      <c r="E601" s="78">
        <f>E595</f>
        <v>3</v>
      </c>
      <c r="F601" s="79">
        <f>E601*D601*C601*B601</f>
        <v>0.3600000000000001</v>
      </c>
      <c r="H601" s="123" t="s">
        <v>425</v>
      </c>
      <c r="I601" s="78">
        <f>B601</f>
        <v>3</v>
      </c>
      <c r="J601" s="78">
        <f t="shared" si="47"/>
        <v>0.8</v>
      </c>
      <c r="K601" s="78"/>
      <c r="L601" s="78">
        <f>M595</f>
        <v>3</v>
      </c>
      <c r="M601" s="79">
        <f>L601*J601*I601</f>
        <v>7.2000000000000011</v>
      </c>
    </row>
    <row r="602" spans="1:14" ht="15.75" thickBot="1">
      <c r="A602" s="124"/>
      <c r="B602" s="80"/>
      <c r="C602" s="80"/>
      <c r="D602" s="80"/>
      <c r="E602" s="80"/>
      <c r="F602" s="81"/>
      <c r="H602" s="124"/>
      <c r="I602" s="80"/>
      <c r="J602" s="80"/>
      <c r="K602" s="80"/>
      <c r="L602" s="80"/>
      <c r="M602" s="81"/>
    </row>
    <row r="603" spans="1:14" ht="13.5" thickBot="1">
      <c r="A603" s="921" t="s">
        <v>393</v>
      </c>
      <c r="B603" s="922"/>
      <c r="C603" s="922"/>
      <c r="D603" s="922"/>
      <c r="E603" s="923"/>
      <c r="F603" s="111">
        <f>SUM(F598:F602)</f>
        <v>2.8500000000000005</v>
      </c>
      <c r="H603" s="921" t="s">
        <v>393</v>
      </c>
      <c r="I603" s="922"/>
      <c r="J603" s="922"/>
      <c r="K603" s="922"/>
      <c r="L603" s="923"/>
      <c r="M603" s="111">
        <f>SUM(M601:M602)</f>
        <v>7.2000000000000011</v>
      </c>
    </row>
    <row r="604" spans="1:14">
      <c r="A604" s="134"/>
      <c r="B604" s="135"/>
      <c r="C604" s="135"/>
      <c r="D604" s="135"/>
      <c r="E604" s="135"/>
      <c r="F604" s="101"/>
      <c r="H604" s="134"/>
      <c r="I604" s="135"/>
      <c r="J604" s="135"/>
      <c r="K604" s="135"/>
      <c r="L604" s="135"/>
      <c r="M604" s="101"/>
    </row>
    <row r="605" spans="1:14" ht="13.5" thickBot="1">
      <c r="A605" s="134"/>
      <c r="B605" s="135"/>
      <c r="C605" s="135"/>
      <c r="D605" s="135"/>
      <c r="E605" s="135"/>
      <c r="F605" s="101"/>
      <c r="H605" s="134"/>
      <c r="I605" s="135"/>
      <c r="J605" s="135"/>
      <c r="K605" s="135"/>
      <c r="L605" s="135"/>
      <c r="M605" s="101"/>
    </row>
    <row r="606" spans="1:14" ht="15.75" thickBot="1">
      <c r="A606" s="125" t="s">
        <v>479</v>
      </c>
      <c r="B606" s="92">
        <f>E610</f>
        <v>3.8335440000000007</v>
      </c>
      <c r="C606" s="95" t="s">
        <v>66</v>
      </c>
      <c r="H606" s="94" t="s">
        <v>479</v>
      </c>
      <c r="I606" s="115">
        <f>SUM(L610:L610)</f>
        <v>55.760640000000002</v>
      </c>
      <c r="J606" s="116" t="s">
        <v>84</v>
      </c>
      <c r="K606" s="211"/>
    </row>
    <row r="607" spans="1:14" ht="13.5" thickBot="1"/>
    <row r="608" spans="1:14" ht="13.5" thickBot="1">
      <c r="A608" s="107" t="s">
        <v>382</v>
      </c>
      <c r="B608" s="109" t="s">
        <v>383</v>
      </c>
      <c r="C608" s="109" t="s">
        <v>384</v>
      </c>
      <c r="D608" s="109" t="s">
        <v>385</v>
      </c>
      <c r="E608" s="110" t="s">
        <v>386</v>
      </c>
      <c r="H608" s="107" t="s">
        <v>382</v>
      </c>
      <c r="I608" s="109" t="s">
        <v>383</v>
      </c>
      <c r="J608" s="109" t="s">
        <v>384</v>
      </c>
      <c r="K608" s="212"/>
      <c r="L608" s="110" t="s">
        <v>387</v>
      </c>
    </row>
    <row r="609" spans="1:22">
      <c r="A609" s="82"/>
      <c r="B609" s="82"/>
      <c r="C609" s="82"/>
      <c r="D609" s="82"/>
      <c r="E609" s="82"/>
      <c r="H609" s="82"/>
      <c r="I609" s="82"/>
      <c r="J609" s="82"/>
      <c r="K609" s="82"/>
      <c r="L609" s="82"/>
    </row>
    <row r="610" spans="1:22" ht="15">
      <c r="A610" s="136" t="s">
        <v>480</v>
      </c>
      <c r="B610" s="78">
        <f>U615</f>
        <v>87.126000000000005</v>
      </c>
      <c r="C610" s="78">
        <v>0.2</v>
      </c>
      <c r="D610" s="78">
        <v>0.22</v>
      </c>
      <c r="E610" s="79">
        <f>D610*C610*B610</f>
        <v>3.8335440000000007</v>
      </c>
      <c r="H610" s="123" t="str">
        <f>A610</f>
        <v>B1-B6</v>
      </c>
      <c r="I610" s="78">
        <f>B610</f>
        <v>87.126000000000005</v>
      </c>
      <c r="J610" s="78">
        <f>C610+D610+D610</f>
        <v>0.64</v>
      </c>
      <c r="K610" s="78"/>
      <c r="L610" s="79">
        <f>J610*I610</f>
        <v>55.760640000000002</v>
      </c>
    </row>
    <row r="611" spans="1:22" ht="15.75" thickBot="1">
      <c r="A611" s="137"/>
      <c r="B611" s="80"/>
      <c r="C611" s="80"/>
      <c r="D611" s="80"/>
      <c r="E611" s="81"/>
      <c r="H611" s="124"/>
      <c r="I611" s="80"/>
      <c r="J611" s="80"/>
      <c r="K611" s="80"/>
      <c r="L611" s="81"/>
    </row>
    <row r="612" spans="1:22" ht="13.5" thickBot="1">
      <c r="A612" s="921" t="s">
        <v>393</v>
      </c>
      <c r="B612" s="922"/>
      <c r="C612" s="922"/>
      <c r="D612" s="923"/>
      <c r="E612" s="111">
        <f>SUM(E609:E611)</f>
        <v>3.8335440000000007</v>
      </c>
      <c r="H612" s="921" t="s">
        <v>393</v>
      </c>
      <c r="I612" s="922"/>
      <c r="J612" s="923"/>
      <c r="K612" s="205"/>
      <c r="L612" s="111">
        <f>SUM(L609:L611)</f>
        <v>55.760640000000002</v>
      </c>
    </row>
    <row r="613" spans="1:22" ht="15.75" thickBot="1">
      <c r="A613" s="102"/>
      <c r="F613" s="102"/>
      <c r="G613" s="99"/>
    </row>
    <row r="614" spans="1:22" ht="13.5" thickBot="1">
      <c r="A614" s="119" t="s">
        <v>481</v>
      </c>
    </row>
    <row r="615" spans="1:22" ht="15">
      <c r="A615" s="103" t="s">
        <v>482</v>
      </c>
      <c r="B615" s="113">
        <v>15.391999999999999</v>
      </c>
      <c r="C615" s="113">
        <v>15.391999999999999</v>
      </c>
      <c r="D615" s="113">
        <v>15.391999999999999</v>
      </c>
      <c r="E615" s="113">
        <f>6*3.7</f>
        <v>22.200000000000003</v>
      </c>
      <c r="F615" s="113">
        <f>5*3.75</f>
        <v>18.75</v>
      </c>
      <c r="G615" s="113">
        <v>0</v>
      </c>
      <c r="H615" s="100">
        <v>0</v>
      </c>
      <c r="I615" s="100">
        <v>0</v>
      </c>
      <c r="J615" s="100">
        <v>0</v>
      </c>
      <c r="K615" s="100"/>
      <c r="L615" s="100">
        <v>0</v>
      </c>
      <c r="M615" s="100">
        <v>0</v>
      </c>
      <c r="N615" s="761">
        <v>0</v>
      </c>
      <c r="O615" s="100">
        <v>0</v>
      </c>
      <c r="P615" s="100">
        <v>0</v>
      </c>
      <c r="Q615" s="100">
        <v>0</v>
      </c>
      <c r="R615" s="100">
        <v>0</v>
      </c>
      <c r="S615" s="100">
        <v>0</v>
      </c>
      <c r="T615" s="100">
        <v>0</v>
      </c>
      <c r="U615" s="114">
        <f>SUM(B615:T615)</f>
        <v>87.126000000000005</v>
      </c>
      <c r="V615" s="104"/>
    </row>
    <row r="616" spans="1:22" ht="13.5" thickBot="1"/>
    <row r="617" spans="1:22" ht="15.75" thickBot="1">
      <c r="A617" s="125" t="s">
        <v>441</v>
      </c>
      <c r="B617" s="92">
        <f>D624-D628</f>
        <v>15.535520000000002</v>
      </c>
      <c r="C617" s="95" t="s">
        <v>66</v>
      </c>
      <c r="H617" s="94" t="s">
        <v>441</v>
      </c>
      <c r="I617" s="92">
        <f>L624-L628</f>
        <v>126.70405</v>
      </c>
      <c r="J617" s="95" t="s">
        <v>84</v>
      </c>
      <c r="K617" s="211"/>
    </row>
    <row r="618" spans="1:22" ht="13.5" thickBot="1"/>
    <row r="619" spans="1:22" ht="13.5" thickBot="1">
      <c r="A619" s="107" t="s">
        <v>382</v>
      </c>
      <c r="B619" s="109" t="s">
        <v>409</v>
      </c>
      <c r="C619" s="109" t="s">
        <v>385</v>
      </c>
      <c r="D619" s="109" t="s">
        <v>386</v>
      </c>
      <c r="H619" s="107" t="s">
        <v>382</v>
      </c>
      <c r="I619" s="109" t="s">
        <v>383</v>
      </c>
      <c r="J619" s="109" t="s">
        <v>384</v>
      </c>
      <c r="K619" s="212"/>
      <c r="L619" s="110" t="s">
        <v>443</v>
      </c>
    </row>
    <row r="620" spans="1:22">
      <c r="A620" s="213"/>
      <c r="B620" s="82"/>
      <c r="C620" s="82"/>
      <c r="D620" s="82"/>
      <c r="H620" s="213"/>
      <c r="I620" s="213"/>
      <c r="J620" s="82"/>
      <c r="K620" s="214"/>
      <c r="L620" s="215"/>
    </row>
    <row r="621" spans="1:22" ht="15">
      <c r="A621" s="216" t="s">
        <v>483</v>
      </c>
      <c r="B621" s="72">
        <f>U632</f>
        <v>123.914</v>
      </c>
      <c r="C621" s="78">
        <v>0.13</v>
      </c>
      <c r="D621" s="79">
        <f>C621*B621</f>
        <v>16.108820000000001</v>
      </c>
      <c r="H621" s="216" t="s">
        <v>483</v>
      </c>
      <c r="I621" s="74">
        <f>B621</f>
        <v>123.914</v>
      </c>
      <c r="J621" s="78">
        <v>0</v>
      </c>
      <c r="K621" s="96"/>
      <c r="L621" s="217">
        <f>I621</f>
        <v>123.914</v>
      </c>
    </row>
    <row r="622" spans="1:22" ht="15">
      <c r="A622" s="216" t="s">
        <v>484</v>
      </c>
      <c r="B622" s="78">
        <f>U633</f>
        <v>0</v>
      </c>
      <c r="C622" s="78">
        <v>0</v>
      </c>
      <c r="D622" s="79">
        <f>C622*B622</f>
        <v>0</v>
      </c>
      <c r="H622" s="216" t="s">
        <v>485</v>
      </c>
      <c r="I622" s="74">
        <v>46.884999999999998</v>
      </c>
      <c r="J622" s="78">
        <f>C621</f>
        <v>0.13</v>
      </c>
      <c r="L622" s="217">
        <f>J622*I622</f>
        <v>6.0950499999999996</v>
      </c>
    </row>
    <row r="623" spans="1:22" ht="15.75" thickBot="1">
      <c r="A623" s="216" t="s">
        <v>486</v>
      </c>
      <c r="B623" s="78">
        <f>U634</f>
        <v>0</v>
      </c>
      <c r="C623" s="78">
        <v>0</v>
      </c>
      <c r="D623" s="79">
        <f>C623*B623</f>
        <v>0</v>
      </c>
      <c r="H623" s="216" t="s">
        <v>487</v>
      </c>
      <c r="I623" s="74">
        <v>8.5</v>
      </c>
      <c r="J623" s="78">
        <f>C621</f>
        <v>0.13</v>
      </c>
      <c r="L623" s="217">
        <f>J623*I623</f>
        <v>1.105</v>
      </c>
    </row>
    <row r="624" spans="1:22" ht="15.75" thickBot="1">
      <c r="A624" s="216"/>
      <c r="B624" s="78"/>
      <c r="C624" s="78"/>
      <c r="D624" s="224">
        <f>SUM(D621:D623)</f>
        <v>16.108820000000001</v>
      </c>
      <c r="H624" s="216"/>
      <c r="I624" s="74"/>
      <c r="J624" s="78"/>
      <c r="L624" s="224">
        <f>SUM(L621:L623)</f>
        <v>131.11404999999999</v>
      </c>
    </row>
    <row r="625" spans="1:22" ht="15">
      <c r="A625" s="218" t="s">
        <v>447</v>
      </c>
      <c r="B625" s="78"/>
      <c r="C625" s="78"/>
      <c r="D625" s="217"/>
      <c r="H625" s="218" t="s">
        <v>447</v>
      </c>
      <c r="I625" s="74"/>
      <c r="J625" s="78"/>
      <c r="L625" s="217"/>
    </row>
    <row r="626" spans="1:22" ht="15">
      <c r="A626" s="216" t="s">
        <v>449</v>
      </c>
      <c r="B626" s="78">
        <f>U636</f>
        <v>0</v>
      </c>
      <c r="C626" s="78">
        <v>0</v>
      </c>
      <c r="D626" s="79">
        <f>C626*B626</f>
        <v>0</v>
      </c>
      <c r="H626" s="216" t="s">
        <v>449</v>
      </c>
      <c r="I626" s="74">
        <f>B626</f>
        <v>0</v>
      </c>
      <c r="J626" s="78"/>
      <c r="L626" s="217">
        <f>I626</f>
        <v>0</v>
      </c>
    </row>
    <row r="627" spans="1:22" ht="15.75" thickBot="1">
      <c r="A627" s="216" t="s">
        <v>451</v>
      </c>
      <c r="B627" s="78">
        <f>U637</f>
        <v>4.41</v>
      </c>
      <c r="C627" s="78">
        <v>0.13</v>
      </c>
      <c r="D627" s="217">
        <f>C627*B627</f>
        <v>0.57330000000000003</v>
      </c>
      <c r="H627" s="216" t="s">
        <v>451</v>
      </c>
      <c r="I627" s="74">
        <f>B627</f>
        <v>4.41</v>
      </c>
      <c r="J627" s="78">
        <v>0</v>
      </c>
      <c r="L627" s="217">
        <f>I627</f>
        <v>4.41</v>
      </c>
    </row>
    <row r="628" spans="1:22" ht="15.75" thickBot="1">
      <c r="A628" s="216"/>
      <c r="B628" s="78"/>
      <c r="C628" s="78"/>
      <c r="D628" s="224">
        <f>SUM(D626:D627)</f>
        <v>0.57330000000000003</v>
      </c>
      <c r="H628" s="216"/>
      <c r="I628" s="74"/>
      <c r="J628" s="78"/>
      <c r="L628" s="224">
        <f>SUM(L626:L627)</f>
        <v>4.41</v>
      </c>
    </row>
    <row r="629" spans="1:22" ht="13.5" thickBot="1">
      <c r="A629" s="219"/>
      <c r="B629" s="80"/>
      <c r="C629" s="80"/>
      <c r="D629" s="221"/>
      <c r="H629" s="219"/>
      <c r="I629" s="219"/>
      <c r="J629" s="80"/>
      <c r="K629" s="220"/>
      <c r="L629" s="221"/>
    </row>
    <row r="630" spans="1:22" ht="13.5" thickBot="1"/>
    <row r="631" spans="1:22" ht="13.5" thickBot="1">
      <c r="A631" s="119" t="s">
        <v>454</v>
      </c>
    </row>
    <row r="632" spans="1:22" ht="15.75" thickBot="1">
      <c r="A632" s="103" t="str">
        <f>A621</f>
        <v>Total Slab</v>
      </c>
      <c r="B632" s="100">
        <v>123.914</v>
      </c>
      <c r="C632" s="100">
        <v>0</v>
      </c>
      <c r="D632" s="100">
        <v>0</v>
      </c>
      <c r="E632" s="100">
        <v>0</v>
      </c>
      <c r="F632" s="100">
        <v>0</v>
      </c>
      <c r="G632" s="100">
        <v>0</v>
      </c>
      <c r="H632" s="100">
        <v>0</v>
      </c>
      <c r="I632" s="100">
        <v>0</v>
      </c>
      <c r="J632" s="100">
        <v>0</v>
      </c>
      <c r="K632" s="100"/>
      <c r="L632" s="100">
        <v>0</v>
      </c>
      <c r="M632" s="100">
        <v>0</v>
      </c>
      <c r="N632" s="761">
        <v>0</v>
      </c>
      <c r="O632" s="100">
        <v>0</v>
      </c>
      <c r="P632" s="100">
        <v>0</v>
      </c>
      <c r="Q632" s="100">
        <v>0</v>
      </c>
      <c r="R632" s="100">
        <v>0</v>
      </c>
      <c r="S632" s="100">
        <v>0</v>
      </c>
      <c r="T632" s="100">
        <v>0</v>
      </c>
      <c r="U632" s="114">
        <f>SUM(B632:T632)</f>
        <v>123.914</v>
      </c>
      <c r="V632" s="104"/>
    </row>
    <row r="633" spans="1:22" ht="15.75" thickBot="1">
      <c r="A633" s="103" t="str">
        <f>A622</f>
        <v>Shaded Slab</v>
      </c>
      <c r="B633" s="100">
        <v>0</v>
      </c>
      <c r="C633" s="100">
        <v>0</v>
      </c>
      <c r="D633" s="100">
        <v>0</v>
      </c>
      <c r="E633" s="100">
        <v>0</v>
      </c>
      <c r="F633" s="100">
        <v>0</v>
      </c>
      <c r="G633" s="100">
        <v>0</v>
      </c>
      <c r="H633" s="100">
        <v>0</v>
      </c>
      <c r="I633" s="100">
        <v>0</v>
      </c>
      <c r="J633" s="100">
        <v>0</v>
      </c>
      <c r="K633" s="100"/>
      <c r="L633" s="100">
        <v>0</v>
      </c>
      <c r="M633" s="100">
        <v>0</v>
      </c>
      <c r="N633" s="761">
        <v>0</v>
      </c>
      <c r="O633" s="100">
        <v>0</v>
      </c>
      <c r="P633" s="100">
        <v>0</v>
      </c>
      <c r="Q633" s="100">
        <v>0</v>
      </c>
      <c r="R633" s="100">
        <v>0</v>
      </c>
      <c r="S633" s="100">
        <v>0</v>
      </c>
      <c r="T633" s="100">
        <v>0</v>
      </c>
      <c r="U633" s="114">
        <f>SUM(B633:T633)</f>
        <v>0</v>
      </c>
      <c r="V633" s="104"/>
    </row>
    <row r="634" spans="1:22" ht="15">
      <c r="A634" s="103" t="str">
        <f>A623</f>
        <v>Cantilever</v>
      </c>
      <c r="B634" s="100">
        <v>0</v>
      </c>
      <c r="C634" s="100">
        <v>0</v>
      </c>
      <c r="D634" s="100">
        <v>0</v>
      </c>
      <c r="E634" s="100">
        <v>0</v>
      </c>
      <c r="F634" s="100">
        <v>0</v>
      </c>
      <c r="G634" s="100">
        <v>0</v>
      </c>
      <c r="H634" s="100">
        <v>0</v>
      </c>
      <c r="I634" s="100">
        <v>0</v>
      </c>
      <c r="J634" s="100">
        <v>0</v>
      </c>
      <c r="K634" s="100"/>
      <c r="L634" s="100">
        <v>0</v>
      </c>
      <c r="M634" s="100">
        <v>0</v>
      </c>
      <c r="N634" s="761">
        <v>0</v>
      </c>
      <c r="O634" s="100">
        <v>0</v>
      </c>
      <c r="P634" s="100">
        <v>0</v>
      </c>
      <c r="Q634" s="100">
        <v>0</v>
      </c>
      <c r="R634" s="100">
        <v>0</v>
      </c>
      <c r="S634" s="100">
        <v>0</v>
      </c>
      <c r="T634" s="100">
        <v>0</v>
      </c>
      <c r="U634" s="114">
        <f>SUM(B634:T634)</f>
        <v>0</v>
      </c>
      <c r="V634" s="104"/>
    </row>
    <row r="635" spans="1:22" ht="15.75" thickBot="1">
      <c r="A635" s="222" t="str">
        <f>A625</f>
        <v>Deduction</v>
      </c>
    </row>
    <row r="636" spans="1:22" ht="15.75" thickBot="1">
      <c r="A636" s="103" t="str">
        <f>A626</f>
        <v>Lift Void</v>
      </c>
      <c r="B636" s="100">
        <v>0</v>
      </c>
      <c r="C636" s="100">
        <v>0</v>
      </c>
      <c r="D636" s="100">
        <v>0</v>
      </c>
      <c r="E636" s="100">
        <v>0</v>
      </c>
      <c r="F636" s="100">
        <v>0</v>
      </c>
      <c r="G636" s="100">
        <v>0</v>
      </c>
      <c r="H636" s="100">
        <v>0</v>
      </c>
      <c r="I636" s="100">
        <v>0</v>
      </c>
      <c r="J636" s="100">
        <v>0</v>
      </c>
      <c r="K636" s="100"/>
      <c r="L636" s="100">
        <v>0</v>
      </c>
      <c r="M636" s="100">
        <v>0</v>
      </c>
      <c r="N636" s="761">
        <v>0</v>
      </c>
      <c r="O636" s="100">
        <v>0</v>
      </c>
      <c r="P636" s="100">
        <v>0</v>
      </c>
      <c r="Q636" s="100">
        <v>0</v>
      </c>
      <c r="R636" s="100">
        <v>0</v>
      </c>
      <c r="S636" s="100">
        <v>0</v>
      </c>
      <c r="T636" s="100">
        <v>0</v>
      </c>
      <c r="U636" s="114">
        <f>SUM(B636:T636)</f>
        <v>0</v>
      </c>
      <c r="V636" s="104"/>
    </row>
    <row r="637" spans="1:22" ht="15">
      <c r="A637" s="103" t="str">
        <f>A627</f>
        <v>Stair Well</v>
      </c>
      <c r="B637" s="100">
        <v>4.41</v>
      </c>
      <c r="C637" s="100">
        <v>0</v>
      </c>
      <c r="D637" s="100">
        <v>0</v>
      </c>
      <c r="E637" s="100">
        <v>0</v>
      </c>
      <c r="F637" s="100">
        <v>0</v>
      </c>
      <c r="G637" s="100">
        <v>0</v>
      </c>
      <c r="H637" s="100">
        <v>0</v>
      </c>
      <c r="I637" s="100">
        <v>0</v>
      </c>
      <c r="J637" s="100">
        <v>0</v>
      </c>
      <c r="K637" s="100"/>
      <c r="L637" s="100">
        <v>0</v>
      </c>
      <c r="M637" s="100">
        <v>0</v>
      </c>
      <c r="N637" s="761">
        <v>0</v>
      </c>
      <c r="O637" s="100">
        <v>0</v>
      </c>
      <c r="P637" s="100">
        <v>0</v>
      </c>
      <c r="Q637" s="100">
        <v>0</v>
      </c>
      <c r="R637" s="100">
        <v>0</v>
      </c>
      <c r="S637" s="100">
        <v>0</v>
      </c>
      <c r="T637" s="100">
        <v>0</v>
      </c>
      <c r="U637" s="114">
        <f>SUM(B637:T637)</f>
        <v>4.41</v>
      </c>
      <c r="V637" s="104"/>
    </row>
    <row r="638" spans="1:22" ht="13.5" thickBot="1"/>
    <row r="639" spans="1:22" ht="15.75" thickBot="1">
      <c r="A639" s="125" t="s">
        <v>459</v>
      </c>
      <c r="B639" s="92">
        <f>E650</f>
        <v>1.4718312500000001</v>
      </c>
      <c r="C639" s="95" t="s">
        <v>66</v>
      </c>
      <c r="H639" s="274"/>
      <c r="I639" s="102"/>
      <c r="J639" s="99"/>
      <c r="K639" s="99"/>
    </row>
    <row r="640" spans="1:22" ht="13.5" thickBot="1"/>
    <row r="641" spans="1:12" ht="13.5" thickBot="1">
      <c r="A641" s="107" t="s">
        <v>382</v>
      </c>
      <c r="B641" s="109" t="s">
        <v>383</v>
      </c>
      <c r="C641" s="109" t="s">
        <v>384</v>
      </c>
      <c r="D641" s="108" t="s">
        <v>460</v>
      </c>
      <c r="E641" s="110" t="s">
        <v>386</v>
      </c>
    </row>
    <row r="642" spans="1:12">
      <c r="A642" s="82"/>
      <c r="B642" s="82"/>
      <c r="C642" s="82"/>
      <c r="D642" s="82"/>
      <c r="E642" s="82"/>
    </row>
    <row r="643" spans="1:12" ht="15">
      <c r="A643" s="136" t="s">
        <v>461</v>
      </c>
      <c r="B643" s="78">
        <v>2.0350000000000001</v>
      </c>
      <c r="C643" s="78">
        <v>0.95</v>
      </c>
      <c r="D643" s="78">
        <v>0.15</v>
      </c>
      <c r="E643" s="79">
        <f>D643*C643*B643</f>
        <v>0.28998750000000001</v>
      </c>
    </row>
    <row r="644" spans="1:12" ht="15">
      <c r="A644" s="136" t="s">
        <v>461</v>
      </c>
      <c r="B644" s="78">
        <v>2.0350000000000001</v>
      </c>
      <c r="C644" s="78">
        <v>0.95</v>
      </c>
      <c r="D644" s="78">
        <v>0.15</v>
      </c>
      <c r="E644" s="79">
        <f>D644*C644*B644</f>
        <v>0.28998750000000001</v>
      </c>
    </row>
    <row r="645" spans="1:12" ht="15">
      <c r="A645" s="136" t="s">
        <v>463</v>
      </c>
      <c r="B645" s="78">
        <v>1.85</v>
      </c>
      <c r="C645" s="78">
        <v>0.875</v>
      </c>
      <c r="D645" s="78">
        <v>0.15</v>
      </c>
      <c r="E645" s="79">
        <f t="shared" ref="E645:E647" si="48">D645*C645*B645</f>
        <v>0.24281250000000001</v>
      </c>
    </row>
    <row r="646" spans="1:12" ht="15">
      <c r="A646" s="136" t="s">
        <v>488</v>
      </c>
      <c r="B646" s="78">
        <v>0.92500000000000004</v>
      </c>
      <c r="C646" s="78">
        <v>0.875</v>
      </c>
      <c r="D646" s="78">
        <v>0.15</v>
      </c>
      <c r="E646" s="79">
        <f t="shared" si="48"/>
        <v>0.12140625000000001</v>
      </c>
    </row>
    <row r="647" spans="1:12" ht="15">
      <c r="A647" s="136" t="s">
        <v>465</v>
      </c>
      <c r="B647" s="78">
        <v>14</v>
      </c>
      <c r="C647" s="78">
        <v>0.95</v>
      </c>
      <c r="D647" s="78">
        <f>(1/2)*0.25*0.167</f>
        <v>2.0875000000000001E-2</v>
      </c>
      <c r="E647" s="79">
        <f t="shared" si="48"/>
        <v>0.27763750000000004</v>
      </c>
    </row>
    <row r="648" spans="1:12" ht="15">
      <c r="A648" s="136" t="s">
        <v>407</v>
      </c>
      <c r="B648" s="78"/>
      <c r="C648" s="78"/>
      <c r="D648" s="78"/>
      <c r="E648" s="79">
        <v>0.25</v>
      </c>
    </row>
    <row r="649" spans="1:12" ht="15.75" thickBot="1">
      <c r="A649" s="137"/>
      <c r="B649" s="80"/>
      <c r="C649" s="80"/>
      <c r="D649" s="80"/>
      <c r="E649" s="81"/>
    </row>
    <row r="650" spans="1:12" ht="13.5" thickBot="1">
      <c r="A650" s="921" t="s">
        <v>393</v>
      </c>
      <c r="B650" s="922"/>
      <c r="C650" s="922"/>
      <c r="D650" s="923"/>
      <c r="E650" s="111">
        <f>SUM(E642:E649)</f>
        <v>1.4718312500000001</v>
      </c>
    </row>
    <row r="652" spans="1:12" ht="13.5" thickBot="1"/>
    <row r="653" spans="1:12" ht="15.75" thickBot="1">
      <c r="A653" s="125" t="s">
        <v>489</v>
      </c>
      <c r="B653" s="92">
        <f>D657</f>
        <v>0</v>
      </c>
      <c r="C653" s="95" t="s">
        <v>66</v>
      </c>
      <c r="H653" s="94" t="str">
        <f>A653</f>
        <v>RC WALL</v>
      </c>
      <c r="I653" s="92">
        <f>SUM(L657:L657)</f>
        <v>0</v>
      </c>
      <c r="J653" s="95" t="s">
        <v>84</v>
      </c>
      <c r="K653" s="99"/>
    </row>
    <row r="654" spans="1:12" ht="13.5" thickBot="1"/>
    <row r="655" spans="1:12" ht="13.5" thickBot="1">
      <c r="A655" s="107" t="s">
        <v>382</v>
      </c>
      <c r="B655" s="109" t="s">
        <v>383</v>
      </c>
      <c r="C655" s="109" t="s">
        <v>384</v>
      </c>
      <c r="D655" s="109" t="s">
        <v>385</v>
      </c>
      <c r="E655" s="107" t="s">
        <v>386</v>
      </c>
      <c r="H655" s="107" t="s">
        <v>382</v>
      </c>
      <c r="I655" s="109" t="s">
        <v>383</v>
      </c>
      <c r="J655" s="109" t="s">
        <v>384</v>
      </c>
      <c r="K655" s="212"/>
      <c r="L655" s="110" t="s">
        <v>475</v>
      </c>
    </row>
    <row r="656" spans="1:12">
      <c r="A656" s="82"/>
      <c r="B656" s="82"/>
      <c r="C656" s="82"/>
      <c r="D656" s="82"/>
      <c r="E656" s="82"/>
      <c r="H656" s="82"/>
      <c r="I656" s="82"/>
      <c r="J656" s="82"/>
      <c r="K656" s="82"/>
      <c r="L656" s="82"/>
    </row>
    <row r="657" spans="1:14" ht="15">
      <c r="A657" s="123" t="str">
        <f>A661</f>
        <v>100mm tk</v>
      </c>
      <c r="B657" s="78">
        <f>N661</f>
        <v>0</v>
      </c>
      <c r="C657" s="78">
        <v>0</v>
      </c>
      <c r="D657" s="78">
        <v>0</v>
      </c>
      <c r="E657" s="79">
        <f>D657*C657*B657</f>
        <v>0</v>
      </c>
      <c r="H657" s="123" t="str">
        <f>A657</f>
        <v>100mm tk</v>
      </c>
      <c r="I657" s="78">
        <f>B657</f>
        <v>0</v>
      </c>
      <c r="J657" s="78">
        <f>C657+D657+D657</f>
        <v>0</v>
      </c>
      <c r="K657" s="78"/>
      <c r="L657" s="79">
        <f>J657*I657</f>
        <v>0</v>
      </c>
    </row>
    <row r="658" spans="1:14" ht="13.5" thickBot="1">
      <c r="A658" s="80"/>
      <c r="B658" s="80"/>
      <c r="C658" s="80"/>
      <c r="D658" s="80"/>
      <c r="E658" s="80"/>
      <c r="H658" s="80"/>
      <c r="I658" s="80"/>
      <c r="J658" s="80"/>
      <c r="K658" s="80"/>
      <c r="L658" s="80"/>
    </row>
    <row r="659" spans="1:14" ht="13.5" thickBot="1"/>
    <row r="660" spans="1:14" ht="13.5" thickBot="1">
      <c r="A660" s="119" t="s">
        <v>490</v>
      </c>
    </row>
    <row r="661" spans="1:14">
      <c r="A661" s="596" t="s">
        <v>491</v>
      </c>
      <c r="B661" s="100">
        <v>0</v>
      </c>
      <c r="C661" s="100">
        <v>0</v>
      </c>
      <c r="D661" s="100">
        <v>0</v>
      </c>
      <c r="E661" s="100">
        <v>0</v>
      </c>
      <c r="F661" s="100">
        <v>0</v>
      </c>
      <c r="G661" s="100">
        <v>0</v>
      </c>
      <c r="H661" s="100">
        <v>0</v>
      </c>
      <c r="I661" s="100">
        <v>0</v>
      </c>
      <c r="J661" s="100">
        <v>0</v>
      </c>
      <c r="K661" s="100"/>
      <c r="L661" s="100">
        <v>0</v>
      </c>
      <c r="M661" s="100">
        <v>0</v>
      </c>
      <c r="N661" s="114">
        <f>SUM(B661:M661)</f>
        <v>0</v>
      </c>
    </row>
    <row r="662" spans="1:14" ht="13.5" thickBot="1"/>
    <row r="663" spans="1:14" ht="15.75" thickBot="1">
      <c r="A663" s="206" t="s">
        <v>466</v>
      </c>
    </row>
    <row r="664" spans="1:14" ht="15.75" thickBot="1">
      <c r="A664" s="94" t="s">
        <v>421</v>
      </c>
      <c r="B664" s="128">
        <f>F672</f>
        <v>2.4900000000000002</v>
      </c>
      <c r="C664" s="95" t="s">
        <v>66</v>
      </c>
      <c r="D664" s="226" t="s">
        <v>385</v>
      </c>
      <c r="E664" s="120">
        <v>3</v>
      </c>
      <c r="F664" s="121" t="s">
        <v>422</v>
      </c>
      <c r="H664" s="94" t="s">
        <v>421</v>
      </c>
      <c r="I664" s="129">
        <f>M672</f>
        <v>0</v>
      </c>
      <c r="J664" s="130" t="s">
        <v>84</v>
      </c>
      <c r="K664" s="130"/>
      <c r="L664" s="225" t="s">
        <v>385</v>
      </c>
      <c r="M664" s="112">
        <v>3</v>
      </c>
      <c r="N664" s="126" t="s">
        <v>422</v>
      </c>
    </row>
    <row r="665" spans="1:14" ht="13.5" thickBot="1"/>
    <row r="666" spans="1:14" s="127" customFormat="1" ht="16.5" customHeight="1" thickBot="1">
      <c r="A666" s="131" t="s">
        <v>382</v>
      </c>
      <c r="B666" s="132" t="s">
        <v>291</v>
      </c>
      <c r="C666" s="132" t="s">
        <v>383</v>
      </c>
      <c r="D666" s="132" t="s">
        <v>384</v>
      </c>
      <c r="E666" s="132" t="s">
        <v>385</v>
      </c>
      <c r="F666" s="133" t="s">
        <v>386</v>
      </c>
      <c r="H666" s="131" t="s">
        <v>382</v>
      </c>
      <c r="I666" s="132" t="s">
        <v>291</v>
      </c>
      <c r="J666" s="132" t="s">
        <v>383</v>
      </c>
      <c r="K666" s="132"/>
      <c r="L666" s="207" t="s">
        <v>385</v>
      </c>
      <c r="M666" s="133" t="s">
        <v>386</v>
      </c>
    </row>
    <row r="667" spans="1:14">
      <c r="A667" s="82"/>
      <c r="B667" s="82"/>
      <c r="C667" s="82"/>
      <c r="D667" s="82"/>
      <c r="E667" s="82"/>
      <c r="F667" s="82"/>
      <c r="H667" s="82"/>
      <c r="I667" s="82"/>
      <c r="J667" s="82"/>
      <c r="K667" s="82"/>
      <c r="L667" s="82"/>
      <c r="M667" s="82"/>
    </row>
    <row r="668" spans="1:14" ht="15">
      <c r="A668" s="123" t="s">
        <v>423</v>
      </c>
      <c r="B668" s="78">
        <v>13</v>
      </c>
      <c r="C668" s="78">
        <v>0.3</v>
      </c>
      <c r="D668" s="78">
        <v>0.2</v>
      </c>
      <c r="E668" s="78">
        <f>E664</f>
        <v>3</v>
      </c>
      <c r="F668" s="79">
        <f>E668*D668*C668*B668</f>
        <v>2.3400000000000003</v>
      </c>
      <c r="H668" s="123" t="s">
        <v>423</v>
      </c>
      <c r="I668" s="78">
        <f>B668</f>
        <v>13</v>
      </c>
      <c r="J668" s="78">
        <f>2*(C668+D668)</f>
        <v>1</v>
      </c>
      <c r="K668" s="78"/>
      <c r="L668" s="78">
        <f>M664</f>
        <v>3</v>
      </c>
      <c r="M668" s="79">
        <f>L668*J668*I668</f>
        <v>39</v>
      </c>
    </row>
    <row r="669" spans="1:14" ht="15">
      <c r="A669" s="123" t="s">
        <v>424</v>
      </c>
      <c r="B669" s="78">
        <v>1</v>
      </c>
      <c r="C669" s="78">
        <v>0.25</v>
      </c>
      <c r="D669" s="78">
        <v>0.2</v>
      </c>
      <c r="E669" s="78">
        <f>E664</f>
        <v>3</v>
      </c>
      <c r="F669" s="79">
        <f>E669*D669*C669*B669</f>
        <v>0.15000000000000002</v>
      </c>
      <c r="H669" s="123" t="s">
        <v>424</v>
      </c>
      <c r="I669" s="78">
        <f>B669</f>
        <v>1</v>
      </c>
      <c r="J669" s="78">
        <f t="shared" ref="J669:J670" si="49">2*(C669+D669)</f>
        <v>0.9</v>
      </c>
      <c r="K669" s="78"/>
      <c r="L669" s="78">
        <f>M664</f>
        <v>3</v>
      </c>
      <c r="M669" s="79">
        <f>L669*J669*I669</f>
        <v>2.7</v>
      </c>
    </row>
    <row r="670" spans="1:14" ht="15">
      <c r="A670" s="123" t="s">
        <v>425</v>
      </c>
      <c r="B670" s="78">
        <v>0</v>
      </c>
      <c r="C670" s="78">
        <v>0.2</v>
      </c>
      <c r="D670" s="78">
        <v>0.2</v>
      </c>
      <c r="E670" s="78">
        <f>E664</f>
        <v>3</v>
      </c>
      <c r="F670" s="79">
        <f>E670*D670*C670*B670</f>
        <v>0</v>
      </c>
      <c r="H670" s="123" t="s">
        <v>425</v>
      </c>
      <c r="I670" s="78">
        <f>B670</f>
        <v>0</v>
      </c>
      <c r="J670" s="78">
        <f t="shared" si="49"/>
        <v>0.8</v>
      </c>
      <c r="K670" s="78"/>
      <c r="L670" s="78">
        <f>M664</f>
        <v>3</v>
      </c>
      <c r="M670" s="79">
        <f>L670*J670*I670</f>
        <v>0</v>
      </c>
    </row>
    <row r="671" spans="1:14" ht="15.75" thickBot="1">
      <c r="A671" s="124"/>
      <c r="B671" s="80"/>
      <c r="C671" s="80"/>
      <c r="D671" s="80"/>
      <c r="E671" s="80"/>
      <c r="F671" s="81"/>
      <c r="H671" s="124"/>
      <c r="I671" s="80"/>
      <c r="J671" s="80"/>
      <c r="K671" s="80"/>
      <c r="L671" s="80"/>
      <c r="M671" s="81"/>
    </row>
    <row r="672" spans="1:14" ht="13.5" thickBot="1">
      <c r="A672" s="921" t="s">
        <v>393</v>
      </c>
      <c r="B672" s="922"/>
      <c r="C672" s="922"/>
      <c r="D672" s="922"/>
      <c r="E672" s="923"/>
      <c r="F672" s="111">
        <f>SUM(F667:F671)</f>
        <v>2.4900000000000002</v>
      </c>
      <c r="H672" s="921" t="s">
        <v>393</v>
      </c>
      <c r="I672" s="922"/>
      <c r="J672" s="922"/>
      <c r="K672" s="922"/>
      <c r="L672" s="923"/>
      <c r="M672" s="111">
        <f>SUM(M670:M671)</f>
        <v>0</v>
      </c>
    </row>
    <row r="673" spans="1:22">
      <c r="A673" s="134"/>
      <c r="B673" s="135"/>
      <c r="C673" s="135"/>
      <c r="D673" s="135"/>
      <c r="E673" s="135"/>
      <c r="F673" s="101"/>
      <c r="H673" s="134"/>
      <c r="I673" s="135"/>
      <c r="J673" s="135"/>
      <c r="K673" s="135"/>
      <c r="L673" s="135"/>
      <c r="M673" s="101"/>
    </row>
    <row r="674" spans="1:22" ht="13.5" thickBot="1">
      <c r="A674" s="134"/>
      <c r="B674" s="135"/>
      <c r="C674" s="135"/>
      <c r="D674" s="135"/>
      <c r="E674" s="135"/>
      <c r="F674" s="101"/>
      <c r="H674" s="134"/>
      <c r="I674" s="135"/>
      <c r="J674" s="135"/>
      <c r="K674" s="135"/>
      <c r="L674" s="135"/>
      <c r="M674" s="101"/>
    </row>
    <row r="675" spans="1:22" ht="15.75" thickBot="1">
      <c r="A675" s="125" t="s">
        <v>479</v>
      </c>
      <c r="B675" s="92">
        <f>E679</f>
        <v>3.1689680000000005</v>
      </c>
      <c r="C675" s="95" t="s">
        <v>66</v>
      </c>
      <c r="H675" s="94" t="s">
        <v>479</v>
      </c>
      <c r="I675" s="115">
        <f>SUM(L679:L679)</f>
        <v>46.094080000000005</v>
      </c>
      <c r="J675" s="116" t="s">
        <v>84</v>
      </c>
      <c r="K675" s="211"/>
    </row>
    <row r="676" spans="1:22" ht="13.5" thickBot="1"/>
    <row r="677" spans="1:22" ht="13.5" thickBot="1">
      <c r="A677" s="107" t="s">
        <v>382</v>
      </c>
      <c r="B677" s="109" t="s">
        <v>383</v>
      </c>
      <c r="C677" s="109" t="s">
        <v>384</v>
      </c>
      <c r="D677" s="109" t="s">
        <v>385</v>
      </c>
      <c r="E677" s="110" t="s">
        <v>386</v>
      </c>
      <c r="H677" s="107" t="s">
        <v>382</v>
      </c>
      <c r="I677" s="109" t="s">
        <v>383</v>
      </c>
      <c r="J677" s="109" t="s">
        <v>384</v>
      </c>
      <c r="K677" s="212"/>
      <c r="L677" s="110" t="s">
        <v>387</v>
      </c>
    </row>
    <row r="678" spans="1:22">
      <c r="A678" s="82"/>
      <c r="B678" s="82"/>
      <c r="C678" s="82"/>
      <c r="D678" s="82"/>
      <c r="E678" s="82"/>
      <c r="H678" s="82"/>
      <c r="I678" s="82"/>
      <c r="J678" s="82"/>
      <c r="K678" s="82"/>
      <c r="L678" s="82"/>
    </row>
    <row r="679" spans="1:22" ht="15">
      <c r="A679" s="136" t="s">
        <v>480</v>
      </c>
      <c r="B679" s="78">
        <f>U684</f>
        <v>72.022000000000006</v>
      </c>
      <c r="C679" s="78">
        <v>0.2</v>
      </c>
      <c r="D679" s="78">
        <v>0.22</v>
      </c>
      <c r="E679" s="79">
        <f>D679*C679*B679</f>
        <v>3.1689680000000005</v>
      </c>
      <c r="H679" s="123" t="str">
        <f>A679</f>
        <v>B1-B6</v>
      </c>
      <c r="I679" s="78">
        <f>B679</f>
        <v>72.022000000000006</v>
      </c>
      <c r="J679" s="78">
        <f>C679+D679+D679</f>
        <v>0.64</v>
      </c>
      <c r="K679" s="78"/>
      <c r="L679" s="79">
        <f>J679*I679</f>
        <v>46.094080000000005</v>
      </c>
    </row>
    <row r="680" spans="1:22" ht="15.75" thickBot="1">
      <c r="A680" s="137"/>
      <c r="B680" s="80"/>
      <c r="C680" s="80"/>
      <c r="D680" s="80"/>
      <c r="E680" s="81"/>
      <c r="H680" s="124"/>
      <c r="I680" s="80"/>
      <c r="J680" s="80"/>
      <c r="K680" s="80"/>
      <c r="L680" s="81"/>
    </row>
    <row r="681" spans="1:22" ht="13.5" thickBot="1">
      <c r="A681" s="921" t="s">
        <v>393</v>
      </c>
      <c r="B681" s="922"/>
      <c r="C681" s="922"/>
      <c r="D681" s="923"/>
      <c r="E681" s="111">
        <f>SUM(E678:E680)</f>
        <v>3.1689680000000005</v>
      </c>
      <c r="H681" s="921" t="s">
        <v>393</v>
      </c>
      <c r="I681" s="922"/>
      <c r="J681" s="923"/>
      <c r="K681" s="205"/>
      <c r="L681" s="111">
        <f>SUM(L678:L680)</f>
        <v>46.094080000000005</v>
      </c>
    </row>
    <row r="682" spans="1:22" ht="15.75" thickBot="1">
      <c r="A682" s="102"/>
      <c r="F682" s="102"/>
      <c r="G682" s="99"/>
    </row>
    <row r="683" spans="1:22" ht="13.5" thickBot="1">
      <c r="A683" s="119" t="s">
        <v>481</v>
      </c>
    </row>
    <row r="684" spans="1:22" ht="15">
      <c r="A684" s="103" t="s">
        <v>482</v>
      </c>
      <c r="B684" s="113">
        <v>15.391999999999999</v>
      </c>
      <c r="C684" s="113">
        <v>15.391999999999999</v>
      </c>
      <c r="D684" s="113">
        <v>15.391999999999999</v>
      </c>
      <c r="E684" s="113">
        <f>6*3.7</f>
        <v>22.200000000000003</v>
      </c>
      <c r="F684" s="113">
        <v>3.6459999999999999</v>
      </c>
      <c r="G684" s="113">
        <v>0</v>
      </c>
      <c r="H684" s="100">
        <v>0</v>
      </c>
      <c r="I684" s="100">
        <v>0</v>
      </c>
      <c r="J684" s="100">
        <v>0</v>
      </c>
      <c r="K684" s="100"/>
      <c r="L684" s="100">
        <v>0</v>
      </c>
      <c r="M684" s="100">
        <v>0</v>
      </c>
      <c r="N684" s="761">
        <v>0</v>
      </c>
      <c r="O684" s="100">
        <v>0</v>
      </c>
      <c r="P684" s="100">
        <v>0</v>
      </c>
      <c r="Q684" s="100">
        <v>0</v>
      </c>
      <c r="R684" s="100">
        <v>0</v>
      </c>
      <c r="S684" s="100">
        <v>0</v>
      </c>
      <c r="T684" s="100">
        <v>0</v>
      </c>
      <c r="U684" s="114">
        <f>SUM(B684:T684)</f>
        <v>72.022000000000006</v>
      </c>
      <c r="V684" s="104"/>
    </row>
    <row r="685" spans="1:22" ht="13.5" thickBot="1"/>
    <row r="686" spans="1:22" ht="15.75" thickBot="1">
      <c r="A686" s="125" t="s">
        <v>441</v>
      </c>
      <c r="B686" s="92">
        <f>D693-D697</f>
        <v>12.270570000000001</v>
      </c>
      <c r="C686" s="95" t="s">
        <v>66</v>
      </c>
      <c r="H686" s="94" t="s">
        <v>441</v>
      </c>
      <c r="I686" s="92">
        <f>L693-L697</f>
        <v>101.58905000000001</v>
      </c>
      <c r="J686" s="95" t="s">
        <v>84</v>
      </c>
      <c r="K686" s="211"/>
    </row>
    <row r="687" spans="1:22" ht="13.5" thickBot="1"/>
    <row r="688" spans="1:22" ht="13.5" thickBot="1">
      <c r="A688" s="107" t="s">
        <v>382</v>
      </c>
      <c r="B688" s="109" t="s">
        <v>409</v>
      </c>
      <c r="C688" s="109" t="s">
        <v>385</v>
      </c>
      <c r="D688" s="109" t="s">
        <v>386</v>
      </c>
      <c r="H688" s="107" t="s">
        <v>382</v>
      </c>
      <c r="I688" s="109" t="s">
        <v>383</v>
      </c>
      <c r="J688" s="109" t="s">
        <v>384</v>
      </c>
      <c r="K688" s="212"/>
      <c r="L688" s="110" t="s">
        <v>443</v>
      </c>
    </row>
    <row r="689" spans="1:22">
      <c r="A689" s="213"/>
      <c r="B689" s="82"/>
      <c r="C689" s="82"/>
      <c r="D689" s="82"/>
      <c r="H689" s="213"/>
      <c r="I689" s="213"/>
      <c r="J689" s="82"/>
      <c r="K689" s="214"/>
      <c r="L689" s="215"/>
    </row>
    <row r="690" spans="1:22" ht="15">
      <c r="A690" s="216" t="s">
        <v>483</v>
      </c>
      <c r="B690" s="72">
        <f>U701</f>
        <v>98.799000000000007</v>
      </c>
      <c r="C690" s="78">
        <v>0.13</v>
      </c>
      <c r="D690" s="79">
        <f>C690*B690</f>
        <v>12.843870000000001</v>
      </c>
      <c r="H690" s="216" t="s">
        <v>483</v>
      </c>
      <c r="I690" s="74">
        <f>B690</f>
        <v>98.799000000000007</v>
      </c>
      <c r="J690" s="78">
        <v>0</v>
      </c>
      <c r="K690" s="96"/>
      <c r="L690" s="217">
        <f>I690</f>
        <v>98.799000000000007</v>
      </c>
    </row>
    <row r="691" spans="1:22" ht="15">
      <c r="A691" s="216" t="s">
        <v>484</v>
      </c>
      <c r="B691" s="78">
        <f>U702</f>
        <v>0</v>
      </c>
      <c r="C691" s="78">
        <v>0</v>
      </c>
      <c r="D691" s="79">
        <f>C691*B691</f>
        <v>0</v>
      </c>
      <c r="H691" s="216" t="s">
        <v>485</v>
      </c>
      <c r="I691" s="74">
        <v>46.884999999999998</v>
      </c>
      <c r="J691" s="78">
        <f>C690</f>
        <v>0.13</v>
      </c>
      <c r="L691" s="217">
        <f>J691*I691</f>
        <v>6.0950499999999996</v>
      </c>
    </row>
    <row r="692" spans="1:22" ht="15.75" thickBot="1">
      <c r="A692" s="216" t="s">
        <v>486</v>
      </c>
      <c r="B692" s="78">
        <f>U703</f>
        <v>0</v>
      </c>
      <c r="C692" s="78">
        <v>0</v>
      </c>
      <c r="D692" s="79">
        <f>C692*B692</f>
        <v>0</v>
      </c>
      <c r="H692" s="216" t="s">
        <v>487</v>
      </c>
      <c r="I692" s="74">
        <v>8.5</v>
      </c>
      <c r="J692" s="78">
        <f>C690</f>
        <v>0.13</v>
      </c>
      <c r="L692" s="217">
        <f>J692*I692</f>
        <v>1.105</v>
      </c>
    </row>
    <row r="693" spans="1:22" ht="15.75" thickBot="1">
      <c r="A693" s="216"/>
      <c r="B693" s="78"/>
      <c r="C693" s="78"/>
      <c r="D693" s="224">
        <f>SUM(D690:D692)</f>
        <v>12.843870000000001</v>
      </c>
      <c r="H693" s="216"/>
      <c r="I693" s="74"/>
      <c r="J693" s="78"/>
      <c r="L693" s="224">
        <f>SUM(L690:L692)</f>
        <v>105.99905000000001</v>
      </c>
    </row>
    <row r="694" spans="1:22" ht="15">
      <c r="A694" s="218" t="s">
        <v>447</v>
      </c>
      <c r="B694" s="78"/>
      <c r="C694" s="78"/>
      <c r="D694" s="217"/>
      <c r="H694" s="218" t="s">
        <v>447</v>
      </c>
      <c r="I694" s="74"/>
      <c r="J694" s="78"/>
      <c r="L694" s="217"/>
    </row>
    <row r="695" spans="1:22" ht="15">
      <c r="A695" s="216" t="s">
        <v>449</v>
      </c>
      <c r="B695" s="78">
        <f>U705</f>
        <v>0</v>
      </c>
      <c r="C695" s="78">
        <v>0</v>
      </c>
      <c r="D695" s="79">
        <f>C695*B695</f>
        <v>0</v>
      </c>
      <c r="H695" s="216" t="s">
        <v>449</v>
      </c>
      <c r="I695" s="74">
        <f>B695</f>
        <v>0</v>
      </c>
      <c r="J695" s="78"/>
      <c r="L695" s="217">
        <f>I695</f>
        <v>0</v>
      </c>
    </row>
    <row r="696" spans="1:22" ht="15.75" thickBot="1">
      <c r="A696" s="216" t="s">
        <v>451</v>
      </c>
      <c r="B696" s="78">
        <f>U706</f>
        <v>4.41</v>
      </c>
      <c r="C696" s="78">
        <v>0.13</v>
      </c>
      <c r="D696" s="217">
        <f>C696*B696</f>
        <v>0.57330000000000003</v>
      </c>
      <c r="H696" s="216" t="s">
        <v>451</v>
      </c>
      <c r="I696" s="74">
        <f>B696</f>
        <v>4.41</v>
      </c>
      <c r="J696" s="78">
        <v>0</v>
      </c>
      <c r="L696" s="217">
        <f>I696</f>
        <v>4.41</v>
      </c>
    </row>
    <row r="697" spans="1:22" ht="15.75" thickBot="1">
      <c r="A697" s="216"/>
      <c r="B697" s="78"/>
      <c r="C697" s="78"/>
      <c r="D697" s="224">
        <f>SUM(D695:D696)</f>
        <v>0.57330000000000003</v>
      </c>
      <c r="H697" s="216"/>
      <c r="I697" s="74"/>
      <c r="J697" s="78"/>
      <c r="L697" s="224">
        <f>SUM(L695:L696)</f>
        <v>4.41</v>
      </c>
    </row>
    <row r="698" spans="1:22" ht="13.5" thickBot="1">
      <c r="A698" s="219"/>
      <c r="B698" s="80"/>
      <c r="C698" s="80"/>
      <c r="D698" s="221"/>
      <c r="H698" s="219"/>
      <c r="I698" s="219"/>
      <c r="J698" s="80"/>
      <c r="K698" s="220"/>
      <c r="L698" s="221"/>
    </row>
    <row r="699" spans="1:22" ht="13.5" thickBot="1"/>
    <row r="700" spans="1:22" ht="13.5" thickBot="1">
      <c r="A700" s="119" t="s">
        <v>454</v>
      </c>
    </row>
    <row r="701" spans="1:22" ht="15.75" thickBot="1">
      <c r="A701" s="103" t="str">
        <f>A690</f>
        <v>Total Slab</v>
      </c>
      <c r="B701" s="100">
        <v>98.799000000000007</v>
      </c>
      <c r="C701" s="100">
        <v>0</v>
      </c>
      <c r="D701" s="100">
        <v>0</v>
      </c>
      <c r="E701" s="100">
        <v>0</v>
      </c>
      <c r="F701" s="100">
        <v>0</v>
      </c>
      <c r="G701" s="100">
        <v>0</v>
      </c>
      <c r="H701" s="100">
        <v>0</v>
      </c>
      <c r="I701" s="100">
        <v>0</v>
      </c>
      <c r="J701" s="100">
        <v>0</v>
      </c>
      <c r="K701" s="100"/>
      <c r="L701" s="100">
        <v>0</v>
      </c>
      <c r="M701" s="100">
        <v>0</v>
      </c>
      <c r="N701" s="761">
        <v>0</v>
      </c>
      <c r="O701" s="100">
        <v>0</v>
      </c>
      <c r="P701" s="100">
        <v>0</v>
      </c>
      <c r="Q701" s="100">
        <v>0</v>
      </c>
      <c r="R701" s="100">
        <v>0</v>
      </c>
      <c r="S701" s="100">
        <v>0</v>
      </c>
      <c r="T701" s="100">
        <v>0</v>
      </c>
      <c r="U701" s="114">
        <f>SUM(B701:T701)</f>
        <v>98.799000000000007</v>
      </c>
      <c r="V701" s="104"/>
    </row>
    <row r="702" spans="1:22" ht="15.75" thickBot="1">
      <c r="A702" s="103" t="str">
        <f>A691</f>
        <v>Shaded Slab</v>
      </c>
      <c r="B702" s="100">
        <v>0</v>
      </c>
      <c r="C702" s="100">
        <v>0</v>
      </c>
      <c r="D702" s="100">
        <v>0</v>
      </c>
      <c r="E702" s="100">
        <v>0</v>
      </c>
      <c r="F702" s="100">
        <v>0</v>
      </c>
      <c r="G702" s="100">
        <v>0</v>
      </c>
      <c r="H702" s="100">
        <v>0</v>
      </c>
      <c r="I702" s="100">
        <v>0</v>
      </c>
      <c r="J702" s="100">
        <v>0</v>
      </c>
      <c r="K702" s="100"/>
      <c r="L702" s="100">
        <v>0</v>
      </c>
      <c r="M702" s="100">
        <v>0</v>
      </c>
      <c r="N702" s="761">
        <v>0</v>
      </c>
      <c r="O702" s="100">
        <v>0</v>
      </c>
      <c r="P702" s="100">
        <v>0</v>
      </c>
      <c r="Q702" s="100">
        <v>0</v>
      </c>
      <c r="R702" s="100">
        <v>0</v>
      </c>
      <c r="S702" s="100">
        <v>0</v>
      </c>
      <c r="T702" s="100">
        <v>0</v>
      </c>
      <c r="U702" s="114">
        <f>SUM(B702:T702)</f>
        <v>0</v>
      </c>
      <c r="V702" s="104"/>
    </row>
    <row r="703" spans="1:22" ht="15">
      <c r="A703" s="103" t="str">
        <f>A692</f>
        <v>Cantilever</v>
      </c>
      <c r="B703" s="100">
        <v>0</v>
      </c>
      <c r="C703" s="100">
        <v>0</v>
      </c>
      <c r="D703" s="100">
        <v>0</v>
      </c>
      <c r="E703" s="100">
        <v>0</v>
      </c>
      <c r="F703" s="100">
        <v>0</v>
      </c>
      <c r="G703" s="100">
        <v>0</v>
      </c>
      <c r="H703" s="100">
        <v>0</v>
      </c>
      <c r="I703" s="100">
        <v>0</v>
      </c>
      <c r="J703" s="100">
        <v>0</v>
      </c>
      <c r="K703" s="100"/>
      <c r="L703" s="100">
        <v>0</v>
      </c>
      <c r="M703" s="100">
        <v>0</v>
      </c>
      <c r="N703" s="761">
        <v>0</v>
      </c>
      <c r="O703" s="100">
        <v>0</v>
      </c>
      <c r="P703" s="100">
        <v>0</v>
      </c>
      <c r="Q703" s="100">
        <v>0</v>
      </c>
      <c r="R703" s="100">
        <v>0</v>
      </c>
      <c r="S703" s="100">
        <v>0</v>
      </c>
      <c r="T703" s="100">
        <v>0</v>
      </c>
      <c r="U703" s="114">
        <f>SUM(B703:T703)</f>
        <v>0</v>
      </c>
      <c r="V703" s="104"/>
    </row>
    <row r="704" spans="1:22" ht="15.75" thickBot="1">
      <c r="A704" s="222" t="str">
        <f>A694</f>
        <v>Deduction</v>
      </c>
    </row>
    <row r="705" spans="1:22" ht="15.75" thickBot="1">
      <c r="A705" s="103" t="str">
        <f>A695</f>
        <v>Lift Void</v>
      </c>
      <c r="B705" s="100">
        <v>0</v>
      </c>
      <c r="C705" s="100">
        <v>0</v>
      </c>
      <c r="D705" s="100">
        <v>0</v>
      </c>
      <c r="E705" s="100">
        <v>0</v>
      </c>
      <c r="F705" s="100">
        <v>0</v>
      </c>
      <c r="G705" s="100">
        <v>0</v>
      </c>
      <c r="H705" s="100">
        <v>0</v>
      </c>
      <c r="I705" s="100">
        <v>0</v>
      </c>
      <c r="J705" s="100">
        <v>0</v>
      </c>
      <c r="K705" s="100"/>
      <c r="L705" s="100">
        <v>0</v>
      </c>
      <c r="M705" s="100">
        <v>0</v>
      </c>
      <c r="N705" s="761">
        <v>0</v>
      </c>
      <c r="O705" s="100">
        <v>0</v>
      </c>
      <c r="P705" s="100">
        <v>0</v>
      </c>
      <c r="Q705" s="100">
        <v>0</v>
      </c>
      <c r="R705" s="100">
        <v>0</v>
      </c>
      <c r="S705" s="100">
        <v>0</v>
      </c>
      <c r="T705" s="100">
        <v>0</v>
      </c>
      <c r="U705" s="114">
        <f>SUM(B705:T705)</f>
        <v>0</v>
      </c>
      <c r="V705" s="104"/>
    </row>
    <row r="706" spans="1:22" ht="15">
      <c r="A706" s="103" t="str">
        <f>A696</f>
        <v>Stair Well</v>
      </c>
      <c r="B706" s="100">
        <v>4.41</v>
      </c>
      <c r="C706" s="100">
        <v>0</v>
      </c>
      <c r="D706" s="100">
        <v>0</v>
      </c>
      <c r="E706" s="100">
        <v>0</v>
      </c>
      <c r="F706" s="100">
        <v>0</v>
      </c>
      <c r="G706" s="100">
        <v>0</v>
      </c>
      <c r="H706" s="100">
        <v>0</v>
      </c>
      <c r="I706" s="100">
        <v>0</v>
      </c>
      <c r="J706" s="100">
        <v>0</v>
      </c>
      <c r="K706" s="100"/>
      <c r="L706" s="100">
        <v>0</v>
      </c>
      <c r="M706" s="100">
        <v>0</v>
      </c>
      <c r="N706" s="761">
        <v>0</v>
      </c>
      <c r="O706" s="100">
        <v>0</v>
      </c>
      <c r="P706" s="100">
        <v>0</v>
      </c>
      <c r="Q706" s="100">
        <v>0</v>
      </c>
      <c r="R706" s="100">
        <v>0</v>
      </c>
      <c r="S706" s="100">
        <v>0</v>
      </c>
      <c r="T706" s="100">
        <v>0</v>
      </c>
      <c r="U706" s="114">
        <f>SUM(B706:T706)</f>
        <v>4.41</v>
      </c>
      <c r="V706" s="104"/>
    </row>
    <row r="707" spans="1:22" ht="13.5" thickBot="1"/>
    <row r="708" spans="1:22" ht="15.75" thickBot="1">
      <c r="A708" s="125" t="s">
        <v>459</v>
      </c>
      <c r="B708" s="92">
        <f>E719</f>
        <v>1.4718312500000001</v>
      </c>
      <c r="C708" s="95" t="s">
        <v>66</v>
      </c>
      <c r="H708" s="274"/>
      <c r="I708" s="102"/>
      <c r="J708" s="99"/>
      <c r="K708" s="99"/>
    </row>
    <row r="709" spans="1:22" ht="13.5" thickBot="1"/>
    <row r="710" spans="1:22" ht="13.5" thickBot="1">
      <c r="A710" s="107" t="s">
        <v>382</v>
      </c>
      <c r="B710" s="109" t="s">
        <v>383</v>
      </c>
      <c r="C710" s="109" t="s">
        <v>384</v>
      </c>
      <c r="D710" s="108" t="s">
        <v>460</v>
      </c>
      <c r="E710" s="110" t="s">
        <v>386</v>
      </c>
    </row>
    <row r="711" spans="1:22">
      <c r="A711" s="82"/>
      <c r="B711" s="82"/>
      <c r="C711" s="82"/>
      <c r="D711" s="82"/>
      <c r="E711" s="82"/>
    </row>
    <row r="712" spans="1:22" ht="15">
      <c r="A712" s="136" t="s">
        <v>461</v>
      </c>
      <c r="B712" s="78">
        <v>2.0350000000000001</v>
      </c>
      <c r="C712" s="78">
        <v>0.95</v>
      </c>
      <c r="D712" s="78">
        <v>0.15</v>
      </c>
      <c r="E712" s="79">
        <f>D712*C712*B712</f>
        <v>0.28998750000000001</v>
      </c>
    </row>
    <row r="713" spans="1:22" ht="15">
      <c r="A713" s="136" t="s">
        <v>461</v>
      </c>
      <c r="B713" s="78">
        <v>2.0350000000000001</v>
      </c>
      <c r="C713" s="78">
        <v>0.95</v>
      </c>
      <c r="D713" s="78">
        <v>0.15</v>
      </c>
      <c r="E713" s="79">
        <f>D713*C713*B713</f>
        <v>0.28998750000000001</v>
      </c>
    </row>
    <row r="714" spans="1:22" ht="15">
      <c r="A714" s="136" t="s">
        <v>463</v>
      </c>
      <c r="B714" s="78">
        <v>1.85</v>
      </c>
      <c r="C714" s="78">
        <v>0.875</v>
      </c>
      <c r="D714" s="78">
        <v>0.15</v>
      </c>
      <c r="E714" s="79">
        <f t="shared" ref="E714:E716" si="50">D714*C714*B714</f>
        <v>0.24281250000000001</v>
      </c>
    </row>
    <row r="715" spans="1:22" ht="15">
      <c r="A715" s="136" t="s">
        <v>488</v>
      </c>
      <c r="B715" s="78">
        <v>0.92500000000000004</v>
      </c>
      <c r="C715" s="78">
        <v>0.875</v>
      </c>
      <c r="D715" s="78">
        <v>0.15</v>
      </c>
      <c r="E715" s="79">
        <f t="shared" si="50"/>
        <v>0.12140625000000001</v>
      </c>
    </row>
    <row r="716" spans="1:22" ht="15">
      <c r="A716" s="136" t="s">
        <v>465</v>
      </c>
      <c r="B716" s="78">
        <v>14</v>
      </c>
      <c r="C716" s="78">
        <v>0.95</v>
      </c>
      <c r="D716" s="78">
        <f>(1/2)*0.25*0.167</f>
        <v>2.0875000000000001E-2</v>
      </c>
      <c r="E716" s="79">
        <f t="shared" si="50"/>
        <v>0.27763750000000004</v>
      </c>
    </row>
    <row r="717" spans="1:22" ht="15">
      <c r="A717" s="136" t="s">
        <v>407</v>
      </c>
      <c r="B717" s="78"/>
      <c r="C717" s="78"/>
      <c r="D717" s="78"/>
      <c r="E717" s="79">
        <v>0.25</v>
      </c>
    </row>
    <row r="718" spans="1:22" ht="15.75" thickBot="1">
      <c r="A718" s="137"/>
      <c r="B718" s="80"/>
      <c r="C718" s="80"/>
      <c r="D718" s="80"/>
      <c r="E718" s="81"/>
    </row>
    <row r="719" spans="1:22" ht="13.5" thickBot="1">
      <c r="A719" s="921" t="s">
        <v>393</v>
      </c>
      <c r="B719" s="922"/>
      <c r="C719" s="922"/>
      <c r="D719" s="923"/>
      <c r="E719" s="111">
        <f>SUM(E711:E718)</f>
        <v>1.4718312500000001</v>
      </c>
    </row>
    <row r="721" spans="1:14" ht="13.5" thickBot="1"/>
    <row r="722" spans="1:14" ht="15.75" thickBot="1">
      <c r="A722" s="125" t="s">
        <v>489</v>
      </c>
      <c r="B722" s="92">
        <f>D726</f>
        <v>0</v>
      </c>
      <c r="C722" s="95" t="s">
        <v>66</v>
      </c>
      <c r="H722" s="94" t="str">
        <f>A722</f>
        <v>RC WALL</v>
      </c>
      <c r="I722" s="92">
        <f>SUM(L726:L726)</f>
        <v>0</v>
      </c>
      <c r="J722" s="95" t="s">
        <v>84</v>
      </c>
      <c r="K722" s="99"/>
    </row>
    <row r="723" spans="1:14" ht="13.5" thickBot="1"/>
    <row r="724" spans="1:14" ht="13.5" thickBot="1">
      <c r="A724" s="107" t="s">
        <v>382</v>
      </c>
      <c r="B724" s="109" t="s">
        <v>383</v>
      </c>
      <c r="C724" s="109" t="s">
        <v>384</v>
      </c>
      <c r="D724" s="109" t="s">
        <v>385</v>
      </c>
      <c r="E724" s="107" t="s">
        <v>386</v>
      </c>
      <c r="H724" s="107" t="s">
        <v>382</v>
      </c>
      <c r="I724" s="109" t="s">
        <v>383</v>
      </c>
      <c r="J724" s="109" t="s">
        <v>384</v>
      </c>
      <c r="K724" s="212"/>
      <c r="L724" s="110" t="s">
        <v>475</v>
      </c>
    </row>
    <row r="725" spans="1:14">
      <c r="A725" s="82"/>
      <c r="B725" s="82"/>
      <c r="C725" s="82"/>
      <c r="D725" s="82"/>
      <c r="E725" s="82"/>
      <c r="H725" s="82"/>
      <c r="I725" s="82"/>
      <c r="J725" s="82"/>
      <c r="K725" s="82"/>
      <c r="L725" s="82"/>
    </row>
    <row r="726" spans="1:14" ht="15">
      <c r="A726" s="123" t="str">
        <f>A730</f>
        <v>100mm tk</v>
      </c>
      <c r="B726" s="78">
        <f>N730</f>
        <v>0</v>
      </c>
      <c r="C726" s="78">
        <v>0</v>
      </c>
      <c r="D726" s="78">
        <v>0</v>
      </c>
      <c r="E726" s="79">
        <f>D726*C726*B726</f>
        <v>0</v>
      </c>
      <c r="H726" s="123" t="str">
        <f>A726</f>
        <v>100mm tk</v>
      </c>
      <c r="I726" s="78">
        <f>B726</f>
        <v>0</v>
      </c>
      <c r="J726" s="78">
        <f>C726+D726+D726</f>
        <v>0</v>
      </c>
      <c r="K726" s="78"/>
      <c r="L726" s="79">
        <f>J726*I726</f>
        <v>0</v>
      </c>
    </row>
    <row r="727" spans="1:14" ht="13.5" thickBot="1">
      <c r="A727" s="80"/>
      <c r="B727" s="80"/>
      <c r="C727" s="80"/>
      <c r="D727" s="80"/>
      <c r="E727" s="80"/>
      <c r="H727" s="80"/>
      <c r="I727" s="80"/>
      <c r="J727" s="80"/>
      <c r="K727" s="80"/>
      <c r="L727" s="80"/>
    </row>
    <row r="728" spans="1:14" ht="13.5" thickBot="1"/>
    <row r="729" spans="1:14" ht="13.5" thickBot="1">
      <c r="A729" s="119" t="s">
        <v>490</v>
      </c>
    </row>
    <row r="730" spans="1:14">
      <c r="A730" s="596" t="s">
        <v>491</v>
      </c>
      <c r="B730" s="100">
        <v>0</v>
      </c>
      <c r="C730" s="100">
        <v>0</v>
      </c>
      <c r="D730" s="100">
        <v>0</v>
      </c>
      <c r="E730" s="100">
        <v>0</v>
      </c>
      <c r="F730" s="100">
        <v>0</v>
      </c>
      <c r="G730" s="100">
        <v>0</v>
      </c>
      <c r="H730" s="100">
        <v>0</v>
      </c>
      <c r="I730" s="100">
        <v>0</v>
      </c>
      <c r="J730" s="100">
        <v>0</v>
      </c>
      <c r="K730" s="100"/>
      <c r="L730" s="100">
        <v>0</v>
      </c>
      <c r="M730" s="100">
        <v>0</v>
      </c>
      <c r="N730" s="114">
        <f>SUM(B730:M730)</f>
        <v>0</v>
      </c>
    </row>
    <row r="731" spans="1:14" ht="13.5" thickBot="1"/>
    <row r="732" spans="1:14" ht="15.75" thickBot="1">
      <c r="A732" s="206" t="s">
        <v>492</v>
      </c>
    </row>
    <row r="733" spans="1:14" ht="15.75" thickBot="1">
      <c r="A733" s="94" t="s">
        <v>421</v>
      </c>
      <c r="B733" s="128">
        <f>F741</f>
        <v>2.3400000000000003</v>
      </c>
      <c r="C733" s="95" t="s">
        <v>66</v>
      </c>
      <c r="D733" s="226" t="s">
        <v>385</v>
      </c>
      <c r="E733" s="120">
        <v>3</v>
      </c>
      <c r="F733" s="121" t="s">
        <v>422</v>
      </c>
      <c r="H733" s="94" t="s">
        <v>421</v>
      </c>
      <c r="I733" s="129">
        <f>M741</f>
        <v>0</v>
      </c>
      <c r="J733" s="130" t="s">
        <v>84</v>
      </c>
      <c r="K733" s="130"/>
      <c r="L733" s="225" t="s">
        <v>385</v>
      </c>
      <c r="M733" s="112">
        <v>3</v>
      </c>
      <c r="N733" s="126" t="s">
        <v>422</v>
      </c>
    </row>
    <row r="734" spans="1:14" ht="13.5" thickBot="1"/>
    <row r="735" spans="1:14" s="127" customFormat="1" ht="16.5" customHeight="1" thickBot="1">
      <c r="A735" s="131" t="s">
        <v>382</v>
      </c>
      <c r="B735" s="132" t="s">
        <v>291</v>
      </c>
      <c r="C735" s="132" t="s">
        <v>383</v>
      </c>
      <c r="D735" s="132" t="s">
        <v>384</v>
      </c>
      <c r="E735" s="132" t="s">
        <v>385</v>
      </c>
      <c r="F735" s="133" t="s">
        <v>386</v>
      </c>
      <c r="H735" s="131" t="s">
        <v>382</v>
      </c>
      <c r="I735" s="132" t="s">
        <v>291</v>
      </c>
      <c r="J735" s="132" t="s">
        <v>383</v>
      </c>
      <c r="K735" s="132"/>
      <c r="L735" s="207" t="s">
        <v>385</v>
      </c>
      <c r="M735" s="133" t="s">
        <v>386</v>
      </c>
    </row>
    <row r="736" spans="1:14">
      <c r="A736" s="82"/>
      <c r="B736" s="82"/>
      <c r="C736" s="82"/>
      <c r="D736" s="82"/>
      <c r="E736" s="82"/>
      <c r="F736" s="82"/>
      <c r="H736" s="82"/>
      <c r="I736" s="82"/>
      <c r="J736" s="82"/>
      <c r="K736" s="82"/>
      <c r="L736" s="82"/>
      <c r="M736" s="82"/>
    </row>
    <row r="737" spans="1:13" ht="15">
      <c r="A737" s="123" t="s">
        <v>423</v>
      </c>
      <c r="B737" s="78">
        <v>13</v>
      </c>
      <c r="C737" s="78">
        <v>0.3</v>
      </c>
      <c r="D737" s="78">
        <v>0.2</v>
      </c>
      <c r="E737" s="78">
        <f>E733</f>
        <v>3</v>
      </c>
      <c r="F737" s="79">
        <f>E737*D737*C737*B737</f>
        <v>2.3400000000000003</v>
      </c>
      <c r="H737" s="123" t="s">
        <v>423</v>
      </c>
      <c r="I737" s="78">
        <f>B737</f>
        <v>13</v>
      </c>
      <c r="J737" s="78">
        <f>2*(C737+D737)</f>
        <v>1</v>
      </c>
      <c r="K737" s="78"/>
      <c r="L737" s="78">
        <f>M733</f>
        <v>3</v>
      </c>
      <c r="M737" s="79">
        <f>L737*J737*I737</f>
        <v>39</v>
      </c>
    </row>
    <row r="738" spans="1:13" ht="15">
      <c r="A738" s="123" t="s">
        <v>424</v>
      </c>
      <c r="B738" s="78">
        <v>0</v>
      </c>
      <c r="C738" s="78">
        <v>0.25</v>
      </c>
      <c r="D738" s="78">
        <v>0.2</v>
      </c>
      <c r="E738" s="78">
        <f>E733</f>
        <v>3</v>
      </c>
      <c r="F738" s="79">
        <f>E738*D738*C738*B738</f>
        <v>0</v>
      </c>
      <c r="H738" s="123" t="s">
        <v>424</v>
      </c>
      <c r="I738" s="78">
        <f>B738</f>
        <v>0</v>
      </c>
      <c r="J738" s="78">
        <f t="shared" ref="J738:J739" si="51">2*(C738+D738)</f>
        <v>0.9</v>
      </c>
      <c r="K738" s="78"/>
      <c r="L738" s="78">
        <f>M733</f>
        <v>3</v>
      </c>
      <c r="M738" s="79">
        <f>L738*J738*I738</f>
        <v>0</v>
      </c>
    </row>
    <row r="739" spans="1:13" ht="15">
      <c r="A739" s="123" t="s">
        <v>425</v>
      </c>
      <c r="B739" s="78">
        <v>0</v>
      </c>
      <c r="C739" s="78">
        <v>0.2</v>
      </c>
      <c r="D739" s="78">
        <v>0.2</v>
      </c>
      <c r="E739" s="78">
        <f>E733</f>
        <v>3</v>
      </c>
      <c r="F739" s="79">
        <f>E739*D739*C739*B739</f>
        <v>0</v>
      </c>
      <c r="H739" s="123" t="s">
        <v>425</v>
      </c>
      <c r="I739" s="78">
        <f>B739</f>
        <v>0</v>
      </c>
      <c r="J739" s="78">
        <f t="shared" si="51"/>
        <v>0.8</v>
      </c>
      <c r="K739" s="78"/>
      <c r="L739" s="78">
        <f>M733</f>
        <v>3</v>
      </c>
      <c r="M739" s="79">
        <f>L739*J739*I739</f>
        <v>0</v>
      </c>
    </row>
    <row r="740" spans="1:13" ht="15.75" thickBot="1">
      <c r="A740" s="124"/>
      <c r="B740" s="80"/>
      <c r="C740" s="80"/>
      <c r="D740" s="80"/>
      <c r="E740" s="80"/>
      <c r="F740" s="81"/>
      <c r="H740" s="124"/>
      <c r="I740" s="80"/>
      <c r="J740" s="80"/>
      <c r="K740" s="80"/>
      <c r="L740" s="80"/>
      <c r="M740" s="81"/>
    </row>
    <row r="741" spans="1:13" ht="13.5" thickBot="1">
      <c r="A741" s="921" t="s">
        <v>393</v>
      </c>
      <c r="B741" s="922"/>
      <c r="C741" s="922"/>
      <c r="D741" s="922"/>
      <c r="E741" s="923"/>
      <c r="F741" s="111">
        <f>SUM(F736:F740)</f>
        <v>2.3400000000000003</v>
      </c>
      <c r="H741" s="921" t="s">
        <v>393</v>
      </c>
      <c r="I741" s="922"/>
      <c r="J741" s="922"/>
      <c r="K741" s="922"/>
      <c r="L741" s="923"/>
      <c r="M741" s="111">
        <f>SUM(M739:M740)</f>
        <v>0</v>
      </c>
    </row>
    <row r="742" spans="1:13">
      <c r="A742" s="134"/>
      <c r="B742" s="135"/>
      <c r="C742" s="135"/>
      <c r="D742" s="135"/>
      <c r="E742" s="135"/>
      <c r="F742" s="101"/>
      <c r="H742" s="134"/>
      <c r="I742" s="135"/>
      <c r="J742" s="135"/>
      <c r="K742" s="135"/>
      <c r="L742" s="135"/>
      <c r="M742" s="101"/>
    </row>
    <row r="743" spans="1:13" ht="13.5" thickBot="1">
      <c r="A743" s="134"/>
      <c r="B743" s="135"/>
      <c r="C743" s="135"/>
      <c r="D743" s="135"/>
      <c r="E743" s="135"/>
      <c r="F743" s="101"/>
      <c r="H743" s="134"/>
      <c r="I743" s="135"/>
      <c r="J743" s="135"/>
      <c r="K743" s="135"/>
      <c r="L743" s="135"/>
      <c r="M743" s="101"/>
    </row>
    <row r="744" spans="1:13" ht="15.75" thickBot="1">
      <c r="A744" s="125" t="s">
        <v>479</v>
      </c>
      <c r="B744" s="92">
        <f>E748</f>
        <v>3.9763200000000003</v>
      </c>
      <c r="C744" s="95" t="s">
        <v>66</v>
      </c>
      <c r="H744" s="94" t="s">
        <v>479</v>
      </c>
      <c r="I744" s="115">
        <f>SUM(L748:L748)</f>
        <v>19.881600000000002</v>
      </c>
      <c r="J744" s="116" t="s">
        <v>84</v>
      </c>
      <c r="K744" s="211"/>
    </row>
    <row r="745" spans="1:13" ht="13.5" thickBot="1"/>
    <row r="746" spans="1:13" ht="13.5" thickBot="1">
      <c r="A746" s="107" t="s">
        <v>382</v>
      </c>
      <c r="B746" s="109" t="s">
        <v>383</v>
      </c>
      <c r="C746" s="109" t="s">
        <v>384</v>
      </c>
      <c r="D746" s="109" t="s">
        <v>385</v>
      </c>
      <c r="E746" s="110" t="s">
        <v>386</v>
      </c>
      <c r="H746" s="107" t="s">
        <v>382</v>
      </c>
      <c r="I746" s="109" t="s">
        <v>383</v>
      </c>
      <c r="J746" s="109" t="s">
        <v>384</v>
      </c>
      <c r="K746" s="212"/>
      <c r="L746" s="110" t="s">
        <v>387</v>
      </c>
    </row>
    <row r="747" spans="1:13">
      <c r="A747" s="82"/>
      <c r="B747" s="82"/>
      <c r="C747" s="82"/>
      <c r="D747" s="82"/>
      <c r="E747" s="82"/>
      <c r="H747" s="82"/>
      <c r="I747" s="82"/>
      <c r="J747" s="82"/>
      <c r="K747" s="82"/>
      <c r="L747" s="82"/>
    </row>
    <row r="748" spans="1:13" ht="15">
      <c r="A748" s="136" t="s">
        <v>480</v>
      </c>
      <c r="B748" s="78">
        <f>U753</f>
        <v>66.272000000000006</v>
      </c>
      <c r="C748" s="78">
        <v>0.2</v>
      </c>
      <c r="D748" s="78">
        <v>0.3</v>
      </c>
      <c r="E748" s="79">
        <f>D748*C748*B748</f>
        <v>3.9763200000000003</v>
      </c>
      <c r="H748" s="123" t="str">
        <f>A748</f>
        <v>B1-B6</v>
      </c>
      <c r="I748" s="78">
        <f>B748</f>
        <v>66.272000000000006</v>
      </c>
      <c r="J748" s="78">
        <v>0.3</v>
      </c>
      <c r="K748" s="78"/>
      <c r="L748" s="79">
        <f>J748*I748</f>
        <v>19.881600000000002</v>
      </c>
    </row>
    <row r="749" spans="1:13" ht="15.75" thickBot="1">
      <c r="A749" s="137"/>
      <c r="B749" s="80"/>
      <c r="C749" s="80"/>
      <c r="D749" s="80"/>
      <c r="E749" s="81"/>
      <c r="H749" s="124"/>
      <c r="I749" s="80"/>
      <c r="J749" s="80"/>
      <c r="K749" s="80"/>
      <c r="L749" s="81"/>
    </row>
    <row r="750" spans="1:13" ht="13.5" thickBot="1">
      <c r="A750" s="921" t="s">
        <v>393</v>
      </c>
      <c r="B750" s="922"/>
      <c r="C750" s="922"/>
      <c r="D750" s="923"/>
      <c r="E750" s="111">
        <f>SUM(E747:E749)</f>
        <v>3.9763200000000003</v>
      </c>
      <c r="H750" s="921" t="s">
        <v>393</v>
      </c>
      <c r="I750" s="922"/>
      <c r="J750" s="923"/>
      <c r="K750" s="205"/>
      <c r="L750" s="111">
        <f>SUM(L747:L749)</f>
        <v>19.881600000000002</v>
      </c>
    </row>
    <row r="751" spans="1:13" ht="15.75" thickBot="1">
      <c r="A751" s="102"/>
      <c r="F751" s="102"/>
      <c r="G751" s="99"/>
    </row>
    <row r="752" spans="1:13" ht="13.5" thickBot="1">
      <c r="A752" s="119" t="s">
        <v>481</v>
      </c>
    </row>
    <row r="753" spans="1:22" ht="15">
      <c r="A753" s="103" t="s">
        <v>482</v>
      </c>
      <c r="B753" s="113">
        <v>15.391999999999999</v>
      </c>
      <c r="C753" s="113">
        <v>15.391999999999999</v>
      </c>
      <c r="D753" s="113">
        <v>15.391999999999999</v>
      </c>
      <c r="E753" s="113">
        <v>16.45</v>
      </c>
      <c r="F753" s="113">
        <v>3.6459999999999999</v>
      </c>
      <c r="G753" s="113">
        <v>0</v>
      </c>
      <c r="H753" s="100">
        <v>0</v>
      </c>
      <c r="I753" s="100">
        <v>0</v>
      </c>
      <c r="J753" s="100">
        <v>0</v>
      </c>
      <c r="K753" s="100"/>
      <c r="L753" s="100">
        <v>0</v>
      </c>
      <c r="M753" s="100">
        <v>0</v>
      </c>
      <c r="N753" s="761">
        <v>0</v>
      </c>
      <c r="O753" s="100">
        <v>0</v>
      </c>
      <c r="P753" s="100">
        <v>0</v>
      </c>
      <c r="Q753" s="100">
        <v>0</v>
      </c>
      <c r="R753" s="100">
        <v>0</v>
      </c>
      <c r="S753" s="100">
        <v>0</v>
      </c>
      <c r="T753" s="100">
        <v>0</v>
      </c>
      <c r="U753" s="114">
        <f>SUM(B753:T753)</f>
        <v>66.272000000000006</v>
      </c>
      <c r="V753" s="104"/>
    </row>
    <row r="754" spans="1:22" ht="13.5" thickBot="1"/>
    <row r="755" spans="1:22" ht="15.75" thickBot="1">
      <c r="A755" s="125" t="s">
        <v>441</v>
      </c>
      <c r="B755" s="92">
        <f>D762-D766</f>
        <v>12.270570000000001</v>
      </c>
      <c r="C755" s="95" t="s">
        <v>66</v>
      </c>
      <c r="H755" s="94" t="s">
        <v>441</v>
      </c>
      <c r="I755" s="92">
        <f>L762-L766</f>
        <v>101.58905000000001</v>
      </c>
      <c r="J755" s="95" t="s">
        <v>84</v>
      </c>
      <c r="K755" s="211"/>
    </row>
    <row r="756" spans="1:22" ht="13.5" thickBot="1"/>
    <row r="757" spans="1:22" ht="13.5" thickBot="1">
      <c r="A757" s="107" t="s">
        <v>382</v>
      </c>
      <c r="B757" s="109" t="s">
        <v>409</v>
      </c>
      <c r="C757" s="109" t="s">
        <v>385</v>
      </c>
      <c r="D757" s="109" t="s">
        <v>386</v>
      </c>
      <c r="H757" s="107" t="s">
        <v>382</v>
      </c>
      <c r="I757" s="109" t="s">
        <v>383</v>
      </c>
      <c r="J757" s="109" t="s">
        <v>384</v>
      </c>
      <c r="K757" s="212"/>
      <c r="L757" s="110" t="s">
        <v>443</v>
      </c>
    </row>
    <row r="758" spans="1:22">
      <c r="A758" s="213"/>
      <c r="B758" s="82"/>
      <c r="C758" s="82"/>
      <c r="D758" s="82"/>
      <c r="H758" s="213"/>
      <c r="I758" s="213"/>
      <c r="J758" s="82"/>
      <c r="K758" s="214"/>
      <c r="L758" s="215"/>
    </row>
    <row r="759" spans="1:22" ht="15">
      <c r="A759" s="216" t="s">
        <v>483</v>
      </c>
      <c r="B759" s="72">
        <f>U770</f>
        <v>98.799000000000007</v>
      </c>
      <c r="C759" s="78">
        <v>0.13</v>
      </c>
      <c r="D759" s="79">
        <f>C759*B759</f>
        <v>12.843870000000001</v>
      </c>
      <c r="H759" s="216" t="s">
        <v>483</v>
      </c>
      <c r="I759" s="74">
        <f>B759</f>
        <v>98.799000000000007</v>
      </c>
      <c r="J759" s="78">
        <v>0</v>
      </c>
      <c r="K759" s="96"/>
      <c r="L759" s="217">
        <f>I759</f>
        <v>98.799000000000007</v>
      </c>
    </row>
    <row r="760" spans="1:22" ht="15">
      <c r="A760" s="216" t="s">
        <v>484</v>
      </c>
      <c r="B760" s="78">
        <f>U771</f>
        <v>0</v>
      </c>
      <c r="C760" s="78">
        <v>0</v>
      </c>
      <c r="D760" s="79">
        <f>C760*B760</f>
        <v>0</v>
      </c>
      <c r="H760" s="216" t="s">
        <v>485</v>
      </c>
      <c r="I760" s="74">
        <v>46.884999999999998</v>
      </c>
      <c r="J760" s="78">
        <f>C759</f>
        <v>0.13</v>
      </c>
      <c r="L760" s="217">
        <f>J760*I760</f>
        <v>6.0950499999999996</v>
      </c>
    </row>
    <row r="761" spans="1:22" ht="15.75" thickBot="1">
      <c r="A761" s="216" t="s">
        <v>486</v>
      </c>
      <c r="B761" s="78">
        <f>U772</f>
        <v>0</v>
      </c>
      <c r="C761" s="78">
        <v>0</v>
      </c>
      <c r="D761" s="79">
        <f>C761*B761</f>
        <v>0</v>
      </c>
      <c r="H761" s="216" t="s">
        <v>487</v>
      </c>
      <c r="I761" s="74">
        <v>8.5</v>
      </c>
      <c r="J761" s="78">
        <f>C759</f>
        <v>0.13</v>
      </c>
      <c r="L761" s="217">
        <f>J761*I761</f>
        <v>1.105</v>
      </c>
    </row>
    <row r="762" spans="1:22" ht="15.75" thickBot="1">
      <c r="A762" s="216"/>
      <c r="B762" s="78"/>
      <c r="C762" s="78"/>
      <c r="D762" s="224">
        <f>SUM(D759:D761)</f>
        <v>12.843870000000001</v>
      </c>
      <c r="H762" s="216"/>
      <c r="I762" s="74"/>
      <c r="J762" s="78"/>
      <c r="L762" s="224">
        <f>SUM(L759:L761)</f>
        <v>105.99905000000001</v>
      </c>
    </row>
    <row r="763" spans="1:22" ht="15">
      <c r="A763" s="218" t="s">
        <v>447</v>
      </c>
      <c r="B763" s="78"/>
      <c r="C763" s="78"/>
      <c r="D763" s="217"/>
      <c r="H763" s="218" t="s">
        <v>447</v>
      </c>
      <c r="I763" s="74"/>
      <c r="J763" s="78"/>
      <c r="L763" s="217"/>
    </row>
    <row r="764" spans="1:22" ht="15">
      <c r="A764" s="216" t="s">
        <v>449</v>
      </c>
      <c r="B764" s="78">
        <f>U774</f>
        <v>0</v>
      </c>
      <c r="C764" s="78">
        <v>0</v>
      </c>
      <c r="D764" s="79">
        <f>C764*B764</f>
        <v>0</v>
      </c>
      <c r="H764" s="216" t="s">
        <v>449</v>
      </c>
      <c r="I764" s="74">
        <f>B764</f>
        <v>0</v>
      </c>
      <c r="J764" s="78"/>
      <c r="L764" s="217">
        <f>I764</f>
        <v>0</v>
      </c>
    </row>
    <row r="765" spans="1:22" ht="15.75" thickBot="1">
      <c r="A765" s="216" t="s">
        <v>451</v>
      </c>
      <c r="B765" s="78">
        <f>U775</f>
        <v>4.41</v>
      </c>
      <c r="C765" s="78">
        <v>0.13</v>
      </c>
      <c r="D765" s="217">
        <f>C765*B765</f>
        <v>0.57330000000000003</v>
      </c>
      <c r="H765" s="216" t="s">
        <v>451</v>
      </c>
      <c r="I765" s="74">
        <f>B765</f>
        <v>4.41</v>
      </c>
      <c r="J765" s="78">
        <v>0</v>
      </c>
      <c r="L765" s="217">
        <f>I765</f>
        <v>4.41</v>
      </c>
    </row>
    <row r="766" spans="1:22" ht="15.75" thickBot="1">
      <c r="A766" s="216"/>
      <c r="B766" s="78"/>
      <c r="C766" s="78"/>
      <c r="D766" s="224">
        <f>SUM(D764:D765)</f>
        <v>0.57330000000000003</v>
      </c>
      <c r="H766" s="216"/>
      <c r="I766" s="74"/>
      <c r="J766" s="78"/>
      <c r="L766" s="224">
        <f>SUM(L764:L765)</f>
        <v>4.41</v>
      </c>
    </row>
    <row r="767" spans="1:22" ht="13.5" thickBot="1">
      <c r="A767" s="219"/>
      <c r="B767" s="80"/>
      <c r="C767" s="80"/>
      <c r="D767" s="221"/>
      <c r="H767" s="219"/>
      <c r="I767" s="219"/>
      <c r="J767" s="80"/>
      <c r="K767" s="220"/>
      <c r="L767" s="221"/>
    </row>
    <row r="768" spans="1:22" ht="13.5" thickBot="1"/>
    <row r="769" spans="1:22" ht="13.5" thickBot="1">
      <c r="A769" s="119" t="s">
        <v>454</v>
      </c>
    </row>
    <row r="770" spans="1:22" ht="15.75" thickBot="1">
      <c r="A770" s="103" t="str">
        <f>A759</f>
        <v>Total Slab</v>
      </c>
      <c r="B770" s="100">
        <v>98.799000000000007</v>
      </c>
      <c r="C770" s="100">
        <v>0</v>
      </c>
      <c r="D770" s="100">
        <v>0</v>
      </c>
      <c r="E770" s="100">
        <v>0</v>
      </c>
      <c r="F770" s="100">
        <v>0</v>
      </c>
      <c r="G770" s="100">
        <v>0</v>
      </c>
      <c r="H770" s="100">
        <v>0</v>
      </c>
      <c r="I770" s="100">
        <v>0</v>
      </c>
      <c r="J770" s="100">
        <v>0</v>
      </c>
      <c r="K770" s="100"/>
      <c r="L770" s="100">
        <v>0</v>
      </c>
      <c r="M770" s="100">
        <v>0</v>
      </c>
      <c r="N770" s="761">
        <v>0</v>
      </c>
      <c r="O770" s="100">
        <v>0</v>
      </c>
      <c r="P770" s="100">
        <v>0</v>
      </c>
      <c r="Q770" s="100">
        <v>0</v>
      </c>
      <c r="R770" s="100">
        <v>0</v>
      </c>
      <c r="S770" s="100">
        <v>0</v>
      </c>
      <c r="T770" s="100">
        <v>0</v>
      </c>
      <c r="U770" s="114">
        <f>SUM(B770:T770)</f>
        <v>98.799000000000007</v>
      </c>
      <c r="V770" s="104"/>
    </row>
    <row r="771" spans="1:22" ht="15.75" thickBot="1">
      <c r="A771" s="103" t="str">
        <f>A760</f>
        <v>Shaded Slab</v>
      </c>
      <c r="B771" s="100">
        <v>0</v>
      </c>
      <c r="C771" s="100">
        <v>0</v>
      </c>
      <c r="D771" s="100">
        <v>0</v>
      </c>
      <c r="E771" s="100">
        <v>0</v>
      </c>
      <c r="F771" s="100">
        <v>0</v>
      </c>
      <c r="G771" s="100">
        <v>0</v>
      </c>
      <c r="H771" s="100">
        <v>0</v>
      </c>
      <c r="I771" s="100">
        <v>0</v>
      </c>
      <c r="J771" s="100">
        <v>0</v>
      </c>
      <c r="K771" s="100"/>
      <c r="L771" s="100">
        <v>0</v>
      </c>
      <c r="M771" s="100">
        <v>0</v>
      </c>
      <c r="N771" s="761">
        <v>0</v>
      </c>
      <c r="O771" s="100">
        <v>0</v>
      </c>
      <c r="P771" s="100">
        <v>0</v>
      </c>
      <c r="Q771" s="100">
        <v>0</v>
      </c>
      <c r="R771" s="100">
        <v>0</v>
      </c>
      <c r="S771" s="100">
        <v>0</v>
      </c>
      <c r="T771" s="100">
        <v>0</v>
      </c>
      <c r="U771" s="114">
        <f>SUM(B771:T771)</f>
        <v>0</v>
      </c>
      <c r="V771" s="104"/>
    </row>
    <row r="772" spans="1:22" ht="15">
      <c r="A772" s="103" t="str">
        <f>A761</f>
        <v>Cantilever</v>
      </c>
      <c r="B772" s="100">
        <v>0</v>
      </c>
      <c r="C772" s="100">
        <v>0</v>
      </c>
      <c r="D772" s="100">
        <v>0</v>
      </c>
      <c r="E772" s="100">
        <v>0</v>
      </c>
      <c r="F772" s="100">
        <v>0</v>
      </c>
      <c r="G772" s="100">
        <v>0</v>
      </c>
      <c r="H772" s="100">
        <v>0</v>
      </c>
      <c r="I772" s="100">
        <v>0</v>
      </c>
      <c r="J772" s="100">
        <v>0</v>
      </c>
      <c r="K772" s="100"/>
      <c r="L772" s="100">
        <v>0</v>
      </c>
      <c r="M772" s="100">
        <v>0</v>
      </c>
      <c r="N772" s="761">
        <v>0</v>
      </c>
      <c r="O772" s="100">
        <v>0</v>
      </c>
      <c r="P772" s="100">
        <v>0</v>
      </c>
      <c r="Q772" s="100">
        <v>0</v>
      </c>
      <c r="R772" s="100">
        <v>0</v>
      </c>
      <c r="S772" s="100">
        <v>0</v>
      </c>
      <c r="T772" s="100">
        <v>0</v>
      </c>
      <c r="U772" s="114">
        <f>SUM(B772:T772)</f>
        <v>0</v>
      </c>
      <c r="V772" s="104"/>
    </row>
    <row r="773" spans="1:22" ht="15.75" thickBot="1">
      <c r="A773" s="222" t="str">
        <f>A763</f>
        <v>Deduction</v>
      </c>
    </row>
    <row r="774" spans="1:22" ht="15.75" thickBot="1">
      <c r="A774" s="103" t="str">
        <f>A764</f>
        <v>Lift Void</v>
      </c>
      <c r="B774" s="100">
        <v>0</v>
      </c>
      <c r="C774" s="100">
        <v>0</v>
      </c>
      <c r="D774" s="100">
        <v>0</v>
      </c>
      <c r="E774" s="100">
        <v>0</v>
      </c>
      <c r="F774" s="100">
        <v>0</v>
      </c>
      <c r="G774" s="100">
        <v>0</v>
      </c>
      <c r="H774" s="100">
        <v>0</v>
      </c>
      <c r="I774" s="100">
        <v>0</v>
      </c>
      <c r="J774" s="100">
        <v>0</v>
      </c>
      <c r="K774" s="100"/>
      <c r="L774" s="100">
        <v>0</v>
      </c>
      <c r="M774" s="100">
        <v>0</v>
      </c>
      <c r="N774" s="761">
        <v>0</v>
      </c>
      <c r="O774" s="100">
        <v>0</v>
      </c>
      <c r="P774" s="100">
        <v>0</v>
      </c>
      <c r="Q774" s="100">
        <v>0</v>
      </c>
      <c r="R774" s="100">
        <v>0</v>
      </c>
      <c r="S774" s="100">
        <v>0</v>
      </c>
      <c r="T774" s="100">
        <v>0</v>
      </c>
      <c r="U774" s="114">
        <f>SUM(B774:T774)</f>
        <v>0</v>
      </c>
      <c r="V774" s="104"/>
    </row>
    <row r="775" spans="1:22" ht="15">
      <c r="A775" s="103" t="str">
        <f>A765</f>
        <v>Stair Well</v>
      </c>
      <c r="B775" s="100">
        <v>4.41</v>
      </c>
      <c r="C775" s="100">
        <v>0</v>
      </c>
      <c r="D775" s="100">
        <v>0</v>
      </c>
      <c r="E775" s="100">
        <v>0</v>
      </c>
      <c r="F775" s="100">
        <v>0</v>
      </c>
      <c r="G775" s="100">
        <v>0</v>
      </c>
      <c r="H775" s="100">
        <v>0</v>
      </c>
      <c r="I775" s="100">
        <v>0</v>
      </c>
      <c r="J775" s="100">
        <v>0</v>
      </c>
      <c r="K775" s="100"/>
      <c r="L775" s="100">
        <v>0</v>
      </c>
      <c r="M775" s="100">
        <v>0</v>
      </c>
      <c r="N775" s="761">
        <v>0</v>
      </c>
      <c r="O775" s="100">
        <v>0</v>
      </c>
      <c r="P775" s="100">
        <v>0</v>
      </c>
      <c r="Q775" s="100">
        <v>0</v>
      </c>
      <c r="R775" s="100">
        <v>0</v>
      </c>
      <c r="S775" s="100">
        <v>0</v>
      </c>
      <c r="T775" s="100">
        <v>0</v>
      </c>
      <c r="U775" s="114">
        <f>SUM(B775:T775)</f>
        <v>4.41</v>
      </c>
      <c r="V775" s="104"/>
    </row>
    <row r="777" spans="1:22" ht="13.5" thickBot="1"/>
    <row r="778" spans="1:22" ht="15.75" thickBot="1">
      <c r="A778" s="125" t="s">
        <v>489</v>
      </c>
      <c r="B778" s="92">
        <f>D782</f>
        <v>0</v>
      </c>
      <c r="C778" s="95" t="s">
        <v>66</v>
      </c>
      <c r="H778" s="94" t="str">
        <f>A778</f>
        <v>RC WALL</v>
      </c>
      <c r="I778" s="92">
        <f>SUM(L782:L782)</f>
        <v>0</v>
      </c>
      <c r="J778" s="95" t="s">
        <v>84</v>
      </c>
      <c r="K778" s="99"/>
    </row>
    <row r="779" spans="1:22" ht="13.5" thickBot="1"/>
    <row r="780" spans="1:22" ht="13.5" thickBot="1">
      <c r="A780" s="107" t="s">
        <v>382</v>
      </c>
      <c r="B780" s="109" t="s">
        <v>383</v>
      </c>
      <c r="C780" s="109" t="s">
        <v>384</v>
      </c>
      <c r="D780" s="109" t="s">
        <v>385</v>
      </c>
      <c r="E780" s="107" t="s">
        <v>386</v>
      </c>
      <c r="H780" s="107" t="s">
        <v>382</v>
      </c>
      <c r="I780" s="109" t="s">
        <v>383</v>
      </c>
      <c r="J780" s="109" t="s">
        <v>384</v>
      </c>
      <c r="K780" s="212"/>
      <c r="L780" s="110" t="s">
        <v>475</v>
      </c>
    </row>
    <row r="781" spans="1:22">
      <c r="A781" s="82"/>
      <c r="B781" s="82"/>
      <c r="C781" s="82"/>
      <c r="D781" s="82"/>
      <c r="E781" s="82"/>
      <c r="H781" s="82"/>
      <c r="I781" s="82"/>
      <c r="J781" s="82"/>
      <c r="K781" s="82"/>
      <c r="L781" s="82"/>
    </row>
    <row r="782" spans="1:22" ht="15">
      <c r="A782" s="123" t="str">
        <f>A786</f>
        <v>100mm tk</v>
      </c>
      <c r="B782" s="78">
        <f>N786</f>
        <v>0</v>
      </c>
      <c r="C782" s="78">
        <v>0</v>
      </c>
      <c r="D782" s="78">
        <v>0</v>
      </c>
      <c r="E782" s="79">
        <f>D782*C782*B782</f>
        <v>0</v>
      </c>
      <c r="H782" s="123" t="str">
        <f>A782</f>
        <v>100mm tk</v>
      </c>
      <c r="I782" s="78">
        <f>B782</f>
        <v>0</v>
      </c>
      <c r="J782" s="78">
        <f>C782+D782+D782</f>
        <v>0</v>
      </c>
      <c r="K782" s="78"/>
      <c r="L782" s="79">
        <f>J782*I782</f>
        <v>0</v>
      </c>
    </row>
    <row r="783" spans="1:22" ht="13.5" thickBot="1">
      <c r="A783" s="80"/>
      <c r="B783" s="80"/>
      <c r="C783" s="80"/>
      <c r="D783" s="80"/>
      <c r="E783" s="80"/>
      <c r="H783" s="80"/>
      <c r="I783" s="80"/>
      <c r="J783" s="80"/>
      <c r="K783" s="80"/>
      <c r="L783" s="80"/>
    </row>
    <row r="784" spans="1:22" ht="13.5" thickBot="1"/>
    <row r="785" spans="1:14" ht="15.75" thickBot="1">
      <c r="A785" s="125" t="s">
        <v>490</v>
      </c>
    </row>
    <row r="786" spans="1:14">
      <c r="A786" s="596" t="s">
        <v>491</v>
      </c>
      <c r="B786" s="100">
        <v>0</v>
      </c>
      <c r="C786" s="100">
        <v>0</v>
      </c>
      <c r="D786" s="100">
        <v>0</v>
      </c>
      <c r="E786" s="100">
        <v>0</v>
      </c>
      <c r="F786" s="100">
        <v>0</v>
      </c>
      <c r="G786" s="100">
        <v>0</v>
      </c>
      <c r="H786" s="100">
        <v>0</v>
      </c>
      <c r="I786" s="100">
        <v>0</v>
      </c>
      <c r="J786" s="100">
        <v>0</v>
      </c>
      <c r="K786" s="100"/>
      <c r="L786" s="100">
        <v>0</v>
      </c>
      <c r="M786" s="100">
        <v>0</v>
      </c>
      <c r="N786" s="114">
        <f>SUM(B786:M786)</f>
        <v>0</v>
      </c>
    </row>
    <row r="787" spans="1:14" ht="13.5" thickBot="1"/>
    <row r="788" spans="1:14" s="228" customFormat="1" ht="15.75" customHeight="1" thickBot="1">
      <c r="A788" s="948" t="s">
        <v>493</v>
      </c>
      <c r="B788" s="949"/>
      <c r="C788" s="949"/>
      <c r="D788" s="949"/>
      <c r="E788" s="227"/>
      <c r="F788" s="227"/>
    </row>
    <row r="789" spans="1:14" s="228" customFormat="1" ht="13.5" thickBot="1">
      <c r="E789" s="229"/>
    </row>
    <row r="790" spans="1:14" s="228" customFormat="1" ht="15.75" customHeight="1" thickBot="1">
      <c r="A790" s="948" t="s">
        <v>494</v>
      </c>
      <c r="B790" s="949"/>
      <c r="C790" s="949"/>
      <c r="D790" s="949"/>
      <c r="E790" s="227"/>
      <c r="F790" s="227"/>
    </row>
    <row r="791" spans="1:14" s="228" customFormat="1" ht="13.5" thickBot="1">
      <c r="A791" s="230" t="s">
        <v>382</v>
      </c>
      <c r="B791" s="231" t="s">
        <v>291</v>
      </c>
      <c r="C791" s="232" t="s">
        <v>383</v>
      </c>
      <c r="D791" s="233" t="s">
        <v>495</v>
      </c>
      <c r="E791" s="234"/>
    </row>
    <row r="792" spans="1:14" s="228" customFormat="1">
      <c r="A792" s="235"/>
      <c r="B792" s="235"/>
      <c r="C792" s="235"/>
      <c r="D792" s="235"/>
      <c r="E792" s="236"/>
    </row>
    <row r="793" spans="1:14" s="228" customFormat="1">
      <c r="A793" s="72" t="s">
        <v>496</v>
      </c>
      <c r="B793" s="237">
        <v>1</v>
      </c>
      <c r="C793" s="237">
        <f t="shared" ref="C793:C800" si="52">F804</f>
        <v>12.565</v>
      </c>
      <c r="D793" s="238">
        <f>C793*B793</f>
        <v>12.565</v>
      </c>
      <c r="E793" s="236"/>
    </row>
    <row r="794" spans="1:14" s="228" customFormat="1">
      <c r="A794" s="72" t="s">
        <v>497</v>
      </c>
      <c r="B794" s="237">
        <v>1</v>
      </c>
      <c r="C794" s="237">
        <f t="shared" si="52"/>
        <v>20.924999999999997</v>
      </c>
      <c r="D794" s="238">
        <f t="shared" ref="D794:D800" si="53">C794*B794</f>
        <v>20.924999999999997</v>
      </c>
      <c r="E794" s="236"/>
    </row>
    <row r="795" spans="1:14" s="228" customFormat="1">
      <c r="A795" s="72" t="s">
        <v>498</v>
      </c>
      <c r="B795" s="237">
        <v>1</v>
      </c>
      <c r="C795" s="237">
        <f t="shared" si="52"/>
        <v>107.02000000000001</v>
      </c>
      <c r="D795" s="238">
        <f t="shared" si="53"/>
        <v>107.02000000000001</v>
      </c>
      <c r="E795" s="236"/>
    </row>
    <row r="796" spans="1:14" s="228" customFormat="1">
      <c r="A796" s="72" t="s">
        <v>499</v>
      </c>
      <c r="B796" s="237">
        <v>1</v>
      </c>
      <c r="C796" s="237">
        <f t="shared" si="52"/>
        <v>182.57</v>
      </c>
      <c r="D796" s="238">
        <f t="shared" si="53"/>
        <v>182.57</v>
      </c>
      <c r="E796" s="236"/>
    </row>
    <row r="797" spans="1:14" s="228" customFormat="1">
      <c r="A797" s="72" t="s">
        <v>500</v>
      </c>
      <c r="B797" s="237">
        <v>1</v>
      </c>
      <c r="C797" s="237">
        <f t="shared" si="52"/>
        <v>20.83</v>
      </c>
      <c r="D797" s="238">
        <f t="shared" si="53"/>
        <v>20.83</v>
      </c>
      <c r="E797" s="236"/>
    </row>
    <row r="798" spans="1:14" s="228" customFormat="1">
      <c r="A798" s="72" t="s">
        <v>501</v>
      </c>
      <c r="B798" s="237">
        <v>1</v>
      </c>
      <c r="C798" s="237">
        <f t="shared" si="52"/>
        <v>20.87</v>
      </c>
      <c r="D798" s="238">
        <f t="shared" si="53"/>
        <v>20.87</v>
      </c>
      <c r="E798" s="236"/>
    </row>
    <row r="799" spans="1:14" s="228" customFormat="1">
      <c r="A799" s="72" t="s">
        <v>502</v>
      </c>
      <c r="B799" s="237">
        <v>1</v>
      </c>
      <c r="C799" s="237">
        <f t="shared" si="52"/>
        <v>16.343999999999998</v>
      </c>
      <c r="D799" s="238">
        <f t="shared" si="53"/>
        <v>16.343999999999998</v>
      </c>
      <c r="E799" s="236"/>
    </row>
    <row r="800" spans="1:14" s="228" customFormat="1">
      <c r="A800" s="72" t="s">
        <v>503</v>
      </c>
      <c r="B800" s="237">
        <v>1</v>
      </c>
      <c r="C800" s="237">
        <f t="shared" si="52"/>
        <v>20.83</v>
      </c>
      <c r="D800" s="238">
        <f t="shared" si="53"/>
        <v>20.83</v>
      </c>
      <c r="E800" s="236"/>
    </row>
    <row r="801" spans="1:26" s="228" customFormat="1" ht="13.5" thickBot="1">
      <c r="A801" s="76"/>
      <c r="B801" s="239"/>
      <c r="C801" s="239"/>
      <c r="D801" s="240"/>
      <c r="E801" s="236"/>
    </row>
    <row r="802" spans="1:26" s="228" customFormat="1">
      <c r="E802" s="229"/>
    </row>
    <row r="803" spans="1:26" s="228" customFormat="1" ht="13.5" thickBot="1">
      <c r="E803" s="229"/>
    </row>
    <row r="804" spans="1:26" s="228" customFormat="1" ht="13.5" thickBot="1">
      <c r="A804" s="263" t="str">
        <f t="shared" ref="A804:A811" si="54">A793</f>
        <v>75mm x 75mm Ridge cap</v>
      </c>
      <c r="B804" s="266">
        <v>12.565</v>
      </c>
      <c r="C804" s="267">
        <v>0</v>
      </c>
      <c r="D804" s="267">
        <v>0</v>
      </c>
      <c r="E804" s="268">
        <v>0</v>
      </c>
      <c r="F804" s="264">
        <f t="shared" ref="F804:F811" si="55">SUM(B804:E804)</f>
        <v>12.565</v>
      </c>
      <c r="J804" s="242"/>
      <c r="M804" s="243"/>
      <c r="W804" s="243"/>
      <c r="Z804" s="243"/>
    </row>
    <row r="805" spans="1:26" s="228" customFormat="1" ht="13.5" thickBot="1">
      <c r="A805" s="263" t="str">
        <f t="shared" si="54"/>
        <v>75mm x 75mm Wall plate</v>
      </c>
      <c r="B805" s="269">
        <v>12.664999999999999</v>
      </c>
      <c r="C805" s="762">
        <v>8.26</v>
      </c>
      <c r="D805" s="762">
        <v>0</v>
      </c>
      <c r="E805" s="270">
        <v>0</v>
      </c>
      <c r="F805" s="264">
        <f t="shared" si="55"/>
        <v>20.924999999999997</v>
      </c>
      <c r="J805" s="242"/>
      <c r="M805" s="243"/>
      <c r="W805" s="243"/>
      <c r="Z805" s="243"/>
    </row>
    <row r="806" spans="1:26" s="228" customFormat="1" ht="13.5" thickBot="1">
      <c r="A806" s="263" t="str">
        <f t="shared" si="54"/>
        <v>50x150mm Timber Rafter</v>
      </c>
      <c r="B806" s="269">
        <f>14*4.49</f>
        <v>62.86</v>
      </c>
      <c r="C806" s="762">
        <f>10*4.416</f>
        <v>44.160000000000004</v>
      </c>
      <c r="D806" s="762">
        <v>0</v>
      </c>
      <c r="E806" s="270">
        <v>0</v>
      </c>
      <c r="F806" s="264">
        <f t="shared" si="55"/>
        <v>107.02000000000001</v>
      </c>
      <c r="J806" s="242"/>
      <c r="M806" s="243"/>
      <c r="W806" s="243"/>
      <c r="Z806" s="243"/>
    </row>
    <row r="807" spans="1:26" s="228" customFormat="1" ht="13.5" thickBot="1">
      <c r="A807" s="263" t="str">
        <f t="shared" si="54"/>
        <v>40x40mm Timber Battens</v>
      </c>
      <c r="B807" s="269">
        <f>12.45*9</f>
        <v>112.05</v>
      </c>
      <c r="C807" s="762">
        <f>8.815*8</f>
        <v>70.52</v>
      </c>
      <c r="D807" s="762">
        <v>0</v>
      </c>
      <c r="E807" s="270">
        <v>0</v>
      </c>
      <c r="F807" s="264">
        <f t="shared" si="55"/>
        <v>182.57</v>
      </c>
      <c r="J807" s="242"/>
      <c r="M807" s="243"/>
      <c r="W807" s="243"/>
      <c r="Z807" s="243"/>
    </row>
    <row r="808" spans="1:26" s="228" customFormat="1" ht="13.5" thickBot="1">
      <c r="A808" s="263" t="str">
        <f t="shared" si="54"/>
        <v>25x250mm timber Fascia Board</v>
      </c>
      <c r="B808" s="269">
        <v>12.57</v>
      </c>
      <c r="C808" s="762">
        <v>8.26</v>
      </c>
      <c r="D808" s="762">
        <v>0</v>
      </c>
      <c r="E808" s="270">
        <v>0</v>
      </c>
      <c r="F808" s="264">
        <f t="shared" si="55"/>
        <v>20.83</v>
      </c>
      <c r="J808" s="242"/>
      <c r="M808" s="243"/>
      <c r="W808" s="243"/>
      <c r="Z808" s="243"/>
    </row>
    <row r="809" spans="1:26" s="228" customFormat="1" ht="13.5" thickBot="1">
      <c r="A809" s="263" t="str">
        <f t="shared" si="54"/>
        <v>Ridge flashing</v>
      </c>
      <c r="B809" s="269">
        <v>12.57</v>
      </c>
      <c r="C809" s="762">
        <v>8.3000000000000007</v>
      </c>
      <c r="D809" s="762">
        <v>0</v>
      </c>
      <c r="E809" s="270">
        <v>0</v>
      </c>
      <c r="F809" s="264">
        <f t="shared" si="55"/>
        <v>20.87</v>
      </c>
      <c r="J809" s="242"/>
      <c r="M809" s="243"/>
      <c r="W809" s="243"/>
      <c r="Z809" s="243"/>
    </row>
    <row r="810" spans="1:26" s="228" customFormat="1" ht="13.5" thickBot="1">
      <c r="A810" s="263" t="str">
        <f t="shared" si="54"/>
        <v>Side flashing</v>
      </c>
      <c r="B810" s="269">
        <v>4.1609999999999996</v>
      </c>
      <c r="C810" s="762">
        <v>4.1609999999999996</v>
      </c>
      <c r="D810" s="762">
        <v>4.0110000000000001</v>
      </c>
      <c r="E810" s="270">
        <v>4.0110000000000001</v>
      </c>
      <c r="F810" s="264">
        <f t="shared" si="55"/>
        <v>16.343999999999998</v>
      </c>
      <c r="J810" s="242"/>
      <c r="M810" s="243"/>
      <c r="W810" s="243"/>
      <c r="Z810" s="243"/>
    </row>
    <row r="811" spans="1:26" s="228" customFormat="1" ht="13.5" thickBot="1">
      <c r="A811" s="263" t="str">
        <f t="shared" si="54"/>
        <v>Gutter</v>
      </c>
      <c r="B811" s="271">
        <f>B808</f>
        <v>12.57</v>
      </c>
      <c r="C811" s="272">
        <v>8.26</v>
      </c>
      <c r="D811" s="272">
        <v>0</v>
      </c>
      <c r="E811" s="273">
        <v>0</v>
      </c>
      <c r="F811" s="265">
        <f t="shared" si="55"/>
        <v>20.83</v>
      </c>
      <c r="J811" s="242"/>
      <c r="M811" s="243"/>
      <c r="W811" s="243"/>
      <c r="Z811" s="243"/>
    </row>
    <row r="812" spans="1:26" s="228" customFormat="1">
      <c r="E812" s="229"/>
    </row>
    <row r="813" spans="1:26" s="228" customFormat="1" ht="13.5" thickBot="1">
      <c r="E813" s="229"/>
      <c r="J813" s="244"/>
      <c r="K813" s="244"/>
      <c r="L813" s="244"/>
      <c r="M813" s="244"/>
      <c r="N813" s="244"/>
      <c r="O813" s="244"/>
      <c r="P813" s="244"/>
      <c r="Q813" s="244"/>
    </row>
    <row r="814" spans="1:26" s="228" customFormat="1" ht="15.75" customHeight="1" thickBot="1">
      <c r="A814" s="125" t="s">
        <v>504</v>
      </c>
      <c r="B814" s="262">
        <f>E822</f>
        <v>0</v>
      </c>
      <c r="C814" s="245" t="s">
        <v>505</v>
      </c>
      <c r="D814" s="246"/>
      <c r="E814" s="247"/>
      <c r="F814" s="248"/>
      <c r="J814" s="244"/>
      <c r="K814" s="249"/>
      <c r="L814" s="250"/>
      <c r="M814" s="251"/>
      <c r="N814" s="950"/>
      <c r="O814" s="950"/>
      <c r="P814" s="244"/>
      <c r="Q814" s="244"/>
    </row>
    <row r="815" spans="1:26" s="228" customFormat="1" ht="13.5" thickBot="1">
      <c r="E815" s="229"/>
      <c r="J815" s="244"/>
      <c r="K815" s="244"/>
      <c r="L815" s="244"/>
      <c r="M815" s="244"/>
      <c r="N815" s="244"/>
      <c r="O815" s="244"/>
      <c r="P815" s="251"/>
      <c r="Q815" s="244"/>
    </row>
    <row r="816" spans="1:26" s="228" customFormat="1" ht="13.5" thickBot="1">
      <c r="A816" s="230" t="s">
        <v>382</v>
      </c>
      <c r="B816" s="231" t="s">
        <v>291</v>
      </c>
      <c r="C816" s="232" t="s">
        <v>383</v>
      </c>
      <c r="D816" s="232" t="s">
        <v>384</v>
      </c>
      <c r="E816" s="252" t="s">
        <v>506</v>
      </c>
      <c r="F816" s="253"/>
      <c r="J816" s="244"/>
      <c r="K816" s="251"/>
      <c r="L816" s="254"/>
      <c r="M816" s="251"/>
      <c r="N816" s="251"/>
      <c r="O816" s="251"/>
      <c r="P816" s="241"/>
      <c r="Q816" s="244"/>
    </row>
    <row r="817" spans="1:17" s="228" customFormat="1">
      <c r="A817" s="235"/>
      <c r="B817" s="235"/>
      <c r="C817" s="235"/>
      <c r="D817" s="235"/>
      <c r="E817" s="255"/>
      <c r="F817" s="256"/>
      <c r="J817" s="244"/>
      <c r="K817" s="241"/>
      <c r="L817" s="241"/>
      <c r="M817" s="241"/>
      <c r="N817" s="241"/>
      <c r="O817" s="241"/>
      <c r="P817" s="250"/>
      <c r="Q817" s="244"/>
    </row>
    <row r="818" spans="1:17" s="228" customFormat="1">
      <c r="A818" s="72" t="s">
        <v>507</v>
      </c>
      <c r="B818" s="237">
        <v>1</v>
      </c>
      <c r="C818" s="237">
        <v>0</v>
      </c>
      <c r="D818" s="237">
        <v>0</v>
      </c>
      <c r="E818" s="257">
        <f>D818*C818*B818</f>
        <v>0</v>
      </c>
      <c r="F818" s="258"/>
      <c r="J818" s="244"/>
      <c r="K818" s="241"/>
      <c r="L818" s="241"/>
      <c r="M818" s="241"/>
      <c r="N818" s="241"/>
      <c r="O818" s="250"/>
      <c r="P818" s="250"/>
      <c r="Q818" s="244"/>
    </row>
    <row r="819" spans="1:17" s="228" customFormat="1">
      <c r="A819" s="72" t="s">
        <v>507</v>
      </c>
      <c r="B819" s="237">
        <v>1</v>
      </c>
      <c r="C819" s="237">
        <v>0</v>
      </c>
      <c r="D819" s="237">
        <v>0</v>
      </c>
      <c r="E819" s="257">
        <f t="shared" ref="E819:E820" si="56">D819*C819*B819</f>
        <v>0</v>
      </c>
      <c r="F819" s="258"/>
      <c r="J819" s="244"/>
      <c r="K819" s="241"/>
      <c r="L819" s="241"/>
      <c r="M819" s="241"/>
      <c r="N819" s="241"/>
      <c r="O819" s="250"/>
      <c r="P819" s="250"/>
      <c r="Q819" s="244"/>
    </row>
    <row r="820" spans="1:17" s="228" customFormat="1">
      <c r="A820" s="72" t="s">
        <v>507</v>
      </c>
      <c r="B820" s="237">
        <v>1</v>
      </c>
      <c r="C820" s="237">
        <v>0</v>
      </c>
      <c r="D820" s="237">
        <v>0</v>
      </c>
      <c r="E820" s="257">
        <f t="shared" si="56"/>
        <v>0</v>
      </c>
      <c r="F820" s="258"/>
      <c r="J820" s="244"/>
      <c r="K820" s="241"/>
      <c r="L820" s="241"/>
      <c r="M820" s="241"/>
      <c r="N820" s="241"/>
      <c r="O820" s="250"/>
      <c r="P820" s="250"/>
      <c r="Q820" s="244"/>
    </row>
    <row r="821" spans="1:17" s="228" customFormat="1" ht="13.5" thickBot="1">
      <c r="A821" s="76"/>
      <c r="B821" s="239"/>
      <c r="C821" s="239"/>
      <c r="D821" s="239"/>
      <c r="E821" s="259"/>
      <c r="F821" s="258"/>
      <c r="J821" s="244"/>
      <c r="K821" s="223"/>
      <c r="L821" s="241"/>
      <c r="M821" s="241"/>
      <c r="N821" s="241"/>
      <c r="O821" s="250"/>
      <c r="P821" s="101"/>
      <c r="Q821" s="244"/>
    </row>
    <row r="822" spans="1:17" s="228" customFormat="1" ht="15.75" customHeight="1" thickBot="1">
      <c r="A822" s="921" t="s">
        <v>393</v>
      </c>
      <c r="B822" s="924"/>
      <c r="C822" s="924"/>
      <c r="D822" s="925"/>
      <c r="E822" s="111">
        <f>SUM(E817:E821)</f>
        <v>0</v>
      </c>
      <c r="F822" s="260"/>
      <c r="J822" s="244"/>
      <c r="K822" s="943"/>
      <c r="L822" s="943"/>
      <c r="M822" s="943"/>
      <c r="N822" s="943"/>
      <c r="O822" s="101"/>
      <c r="P822" s="244"/>
      <c r="Q822" s="244"/>
    </row>
    <row r="823" spans="1:17" s="228" customFormat="1" ht="13.5" thickBot="1">
      <c r="E823" s="229"/>
      <c r="J823" s="244"/>
      <c r="K823" s="244"/>
      <c r="L823" s="244"/>
      <c r="M823" s="244"/>
      <c r="N823" s="244"/>
      <c r="O823" s="244"/>
      <c r="P823" s="244"/>
      <c r="Q823" s="244"/>
    </row>
    <row r="824" spans="1:17" s="228" customFormat="1" ht="15.75" customHeight="1" thickBot="1">
      <c r="A824" s="125" t="s">
        <v>508</v>
      </c>
      <c r="B824" s="262">
        <f>E831</f>
        <v>63.712199999999996</v>
      </c>
      <c r="C824" s="245" t="s">
        <v>505</v>
      </c>
      <c r="D824" s="246"/>
      <c r="E824" s="247"/>
      <c r="F824" s="248"/>
      <c r="J824" s="244"/>
      <c r="K824" s="249"/>
      <c r="L824" s="250"/>
      <c r="M824" s="251"/>
      <c r="N824" s="950"/>
      <c r="O824" s="950"/>
      <c r="P824" s="244"/>
      <c r="Q824" s="244"/>
    </row>
    <row r="825" spans="1:17" s="228" customFormat="1" ht="13.5" thickBot="1">
      <c r="E825" s="229"/>
      <c r="J825" s="244"/>
      <c r="K825" s="244"/>
      <c r="L825" s="244"/>
      <c r="M825" s="244"/>
      <c r="N825" s="244"/>
      <c r="O825" s="244"/>
      <c r="P825" s="251"/>
      <c r="Q825" s="244"/>
    </row>
    <row r="826" spans="1:17" s="228" customFormat="1" ht="13.5" thickBot="1">
      <c r="A826" s="230" t="s">
        <v>382</v>
      </c>
      <c r="B826" s="231" t="s">
        <v>291</v>
      </c>
      <c r="C826" s="232" t="s">
        <v>384</v>
      </c>
      <c r="D826" s="232"/>
      <c r="E826" s="252" t="s">
        <v>506</v>
      </c>
      <c r="F826" s="253"/>
      <c r="J826" s="244"/>
      <c r="K826" s="251"/>
      <c r="L826" s="254"/>
      <c r="M826" s="251"/>
      <c r="N826" s="251"/>
      <c r="O826" s="251"/>
      <c r="P826" s="241"/>
      <c r="Q826" s="244"/>
    </row>
    <row r="827" spans="1:17" s="228" customFormat="1">
      <c r="A827" s="235"/>
      <c r="B827" s="235"/>
      <c r="C827" s="235"/>
      <c r="D827" s="235"/>
      <c r="E827" s="255"/>
      <c r="F827" s="256"/>
      <c r="J827" s="244"/>
      <c r="K827" s="241"/>
      <c r="L827" s="241"/>
      <c r="M827" s="241"/>
      <c r="N827" s="241"/>
      <c r="O827" s="241"/>
      <c r="P827" s="250"/>
      <c r="Q827" s="244"/>
    </row>
    <row r="828" spans="1:17" s="228" customFormat="1">
      <c r="A828" s="261" t="s">
        <v>509</v>
      </c>
      <c r="B828" s="237">
        <v>20</v>
      </c>
      <c r="C828" s="237">
        <v>0.66</v>
      </c>
      <c r="D828" s="237">
        <v>4.4509999999999996</v>
      </c>
      <c r="E828" s="257">
        <f>D828*C828*B828</f>
        <v>58.753199999999993</v>
      </c>
      <c r="F828" s="258"/>
      <c r="J828" s="244"/>
      <c r="K828" s="241"/>
      <c r="L828" s="241"/>
      <c r="M828" s="241"/>
      <c r="N828" s="241"/>
      <c r="O828" s="250"/>
      <c r="P828" s="250"/>
      <c r="Q828" s="244"/>
    </row>
    <row r="829" spans="1:17" s="228" customFormat="1">
      <c r="A829" s="261" t="s">
        <v>510</v>
      </c>
      <c r="B829" s="237">
        <v>13</v>
      </c>
      <c r="C829" s="237">
        <v>0.66</v>
      </c>
      <c r="D829" s="237">
        <v>4.2990000000000004</v>
      </c>
      <c r="E829" s="257">
        <f t="shared" ref="E829" si="57">D829+C829</f>
        <v>4.9590000000000005</v>
      </c>
      <c r="F829" s="258"/>
      <c r="J829" s="244"/>
      <c r="K829" s="241"/>
      <c r="L829" s="241"/>
      <c r="M829" s="241"/>
      <c r="N829" s="241"/>
      <c r="O829" s="250"/>
      <c r="P829" s="250"/>
      <c r="Q829" s="244"/>
    </row>
    <row r="830" spans="1:17" s="228" customFormat="1" ht="13.5" thickBot="1">
      <c r="A830" s="76"/>
      <c r="B830" s="239"/>
      <c r="C830" s="239"/>
      <c r="D830" s="239"/>
      <c r="E830" s="259"/>
      <c r="F830" s="258"/>
      <c r="J830" s="244"/>
      <c r="K830" s="223"/>
      <c r="L830" s="241"/>
      <c r="M830" s="241"/>
      <c r="N830" s="241"/>
      <c r="O830" s="250"/>
      <c r="P830" s="101"/>
      <c r="Q830" s="244"/>
    </row>
    <row r="831" spans="1:17" s="228" customFormat="1" ht="15.75" customHeight="1" thickBot="1">
      <c r="A831" s="921" t="s">
        <v>393</v>
      </c>
      <c r="B831" s="924"/>
      <c r="C831" s="924"/>
      <c r="D831" s="925"/>
      <c r="E831" s="111">
        <f>SUM(E827:E830)</f>
        <v>63.712199999999996</v>
      </c>
      <c r="F831" s="260"/>
      <c r="J831" s="244"/>
      <c r="K831" s="943"/>
      <c r="L831" s="943"/>
      <c r="M831" s="943"/>
      <c r="N831" s="943"/>
      <c r="O831" s="101"/>
      <c r="P831" s="244"/>
      <c r="Q831" s="244"/>
    </row>
    <row r="832" spans="1:17" s="228" customFormat="1">
      <c r="E832" s="229"/>
      <c r="J832" s="244"/>
      <c r="K832" s="244"/>
      <c r="L832" s="244"/>
      <c r="M832" s="244"/>
      <c r="N832" s="244"/>
      <c r="O832" s="244"/>
      <c r="P832" s="244"/>
      <c r="Q832" s="244"/>
    </row>
    <row r="845" spans="1:5" ht="13.5" thickBot="1"/>
    <row r="846" spans="1:5" s="228" customFormat="1" ht="15.75" customHeight="1" thickBot="1">
      <c r="A846" s="948" t="s">
        <v>493</v>
      </c>
      <c r="B846" s="949"/>
      <c r="C846" s="949"/>
      <c r="D846" s="227"/>
      <c r="E846" s="227"/>
    </row>
    <row r="847" spans="1:5" s="228" customFormat="1" ht="13.5" thickBot="1">
      <c r="D847" s="229"/>
    </row>
    <row r="848" spans="1:5" s="228" customFormat="1" ht="15.75" customHeight="1" thickBot="1">
      <c r="A848" s="948" t="s">
        <v>494</v>
      </c>
      <c r="B848" s="949"/>
      <c r="C848" s="949"/>
      <c r="D848" s="227"/>
      <c r="E848" s="227"/>
    </row>
    <row r="849" spans="1:25" s="228" customFormat="1" ht="13.5" thickBot="1">
      <c r="A849" s="230" t="s">
        <v>382</v>
      </c>
      <c r="B849" s="231" t="s">
        <v>291</v>
      </c>
      <c r="C849" s="232" t="s">
        <v>383</v>
      </c>
      <c r="D849" s="233" t="s">
        <v>495</v>
      </c>
    </row>
    <row r="850" spans="1:25" s="228" customFormat="1">
      <c r="A850" s="235"/>
      <c r="B850" s="235"/>
      <c r="C850" s="235"/>
      <c r="D850" s="235"/>
    </row>
    <row r="851" spans="1:25" s="228" customFormat="1">
      <c r="A851" s="72" t="s">
        <v>511</v>
      </c>
      <c r="B851" s="237">
        <f>E860</f>
        <v>0</v>
      </c>
      <c r="C851" s="237">
        <v>0</v>
      </c>
      <c r="D851" s="238">
        <f t="shared" ref="D851:D858" si="58">C851*B851</f>
        <v>0</v>
      </c>
    </row>
    <row r="852" spans="1:25" s="228" customFormat="1">
      <c r="A852" s="72" t="s">
        <v>512</v>
      </c>
      <c r="B852" s="237">
        <f>E861</f>
        <v>0</v>
      </c>
      <c r="C852" s="237">
        <v>0</v>
      </c>
      <c r="D852" s="238">
        <f t="shared" si="58"/>
        <v>0</v>
      </c>
    </row>
    <row r="853" spans="1:25" s="228" customFormat="1">
      <c r="A853" s="72" t="s">
        <v>498</v>
      </c>
      <c r="B853" s="237">
        <f>E864</f>
        <v>0</v>
      </c>
      <c r="C853" s="237">
        <v>0</v>
      </c>
      <c r="D853" s="238">
        <f t="shared" si="58"/>
        <v>0</v>
      </c>
    </row>
    <row r="854" spans="1:25" s="228" customFormat="1">
      <c r="A854" s="72" t="s">
        <v>513</v>
      </c>
      <c r="B854" s="237">
        <f>E865</f>
        <v>0</v>
      </c>
      <c r="C854" s="237">
        <v>0</v>
      </c>
      <c r="D854" s="238">
        <f t="shared" si="58"/>
        <v>0</v>
      </c>
    </row>
    <row r="855" spans="1:25" s="228" customFormat="1">
      <c r="A855" s="72" t="s">
        <v>514</v>
      </c>
      <c r="B855" s="237">
        <f>E866</f>
        <v>0</v>
      </c>
      <c r="C855" s="237">
        <v>0</v>
      </c>
      <c r="D855" s="238">
        <f t="shared" si="58"/>
        <v>0</v>
      </c>
    </row>
    <row r="856" spans="1:25" s="228" customFormat="1">
      <c r="A856" s="72" t="s">
        <v>515</v>
      </c>
      <c r="B856" s="237">
        <f>E869</f>
        <v>0</v>
      </c>
      <c r="C856" s="237">
        <v>0</v>
      </c>
      <c r="D856" s="238">
        <f t="shared" si="58"/>
        <v>0</v>
      </c>
    </row>
    <row r="857" spans="1:25" s="228" customFormat="1">
      <c r="A857" s="72" t="s">
        <v>516</v>
      </c>
      <c r="B857" s="237">
        <f>E870</f>
        <v>0</v>
      </c>
      <c r="C857" s="237">
        <v>0</v>
      </c>
      <c r="D857" s="238">
        <f t="shared" si="58"/>
        <v>0</v>
      </c>
    </row>
    <row r="858" spans="1:25" s="228" customFormat="1">
      <c r="A858" s="72" t="s">
        <v>503</v>
      </c>
      <c r="B858" s="237">
        <f>E869</f>
        <v>0</v>
      </c>
      <c r="C858" s="237">
        <v>0</v>
      </c>
      <c r="D858" s="238">
        <f t="shared" si="58"/>
        <v>0</v>
      </c>
    </row>
    <row r="859" spans="1:25" s="228" customFormat="1" ht="13.5" thickBot="1">
      <c r="A859" s="76"/>
      <c r="B859" s="239"/>
      <c r="C859" s="239"/>
      <c r="D859" s="240"/>
    </row>
    <row r="860" spans="1:25" s="228" customFormat="1">
      <c r="D860" s="229"/>
    </row>
    <row r="861" spans="1:25" s="228" customFormat="1" ht="13.5" thickBot="1">
      <c r="D861" s="229"/>
    </row>
    <row r="862" spans="1:25" s="228" customFormat="1" ht="13.5" thickBot="1">
      <c r="A862" s="263" t="str">
        <f t="shared" ref="A862:A869" si="59">A851</f>
        <v>75mmx75mm Ridge</v>
      </c>
      <c r="B862" s="763">
        <v>0</v>
      </c>
      <c r="C862" s="763">
        <v>0</v>
      </c>
      <c r="D862" s="763">
        <v>0</v>
      </c>
      <c r="E862" s="114">
        <f t="shared" ref="E862:E869" si="60">SUM(B862:D862)</f>
        <v>0</v>
      </c>
      <c r="I862" s="242"/>
      <c r="L862" s="243"/>
      <c r="V862" s="243"/>
      <c r="Y862" s="243"/>
    </row>
    <row r="863" spans="1:25" s="228" customFormat="1" ht="13.5" thickBot="1">
      <c r="A863" s="263" t="str">
        <f t="shared" si="59"/>
        <v>75mmx75mm Wall plate</v>
      </c>
      <c r="B863" s="763">
        <v>0</v>
      </c>
      <c r="C863" s="763">
        <v>0</v>
      </c>
      <c r="D863" s="763">
        <v>0</v>
      </c>
      <c r="E863" s="114">
        <f t="shared" si="60"/>
        <v>0</v>
      </c>
      <c r="I863" s="242"/>
      <c r="L863" s="243"/>
      <c r="V863" s="243"/>
      <c r="Y863" s="243"/>
    </row>
    <row r="864" spans="1:25" s="228" customFormat="1" ht="13.5" thickBot="1">
      <c r="A864" s="263" t="str">
        <f t="shared" si="59"/>
        <v>50x150mm Timber Rafter</v>
      </c>
      <c r="B864" s="763">
        <v>0</v>
      </c>
      <c r="C864" s="763">
        <v>0</v>
      </c>
      <c r="D864" s="763">
        <v>0</v>
      </c>
      <c r="E864" s="114">
        <f t="shared" si="60"/>
        <v>0</v>
      </c>
      <c r="I864" s="242"/>
      <c r="L864" s="243"/>
      <c r="V864" s="243"/>
      <c r="Y864" s="243"/>
    </row>
    <row r="865" spans="1:25" s="228" customFormat="1" ht="13.5" thickBot="1">
      <c r="A865" s="263" t="str">
        <f t="shared" si="59"/>
        <v>Fascia Board (20x250mm)</v>
      </c>
      <c r="B865" s="763">
        <v>0</v>
      </c>
      <c r="C865" s="763">
        <v>0</v>
      </c>
      <c r="D865" s="763">
        <v>0</v>
      </c>
      <c r="E865" s="114">
        <f t="shared" si="60"/>
        <v>0</v>
      </c>
      <c r="I865" s="242"/>
      <c r="L865" s="243"/>
      <c r="V865" s="243"/>
      <c r="Y865" s="243"/>
    </row>
    <row r="866" spans="1:25" s="228" customFormat="1" ht="13.5" thickBot="1">
      <c r="A866" s="263" t="str">
        <f t="shared" si="59"/>
        <v>Ridge cap</v>
      </c>
      <c r="B866" s="763">
        <v>0</v>
      </c>
      <c r="C866" s="763">
        <v>0</v>
      </c>
      <c r="D866" s="763">
        <v>0</v>
      </c>
      <c r="E866" s="114">
        <f t="shared" si="60"/>
        <v>0</v>
      </c>
      <c r="I866" s="242"/>
      <c r="L866" s="243"/>
      <c r="V866" s="243"/>
      <c r="Y866" s="243"/>
    </row>
    <row r="867" spans="1:25" s="228" customFormat="1" ht="13.5" thickBot="1">
      <c r="A867" s="263" t="str">
        <f t="shared" si="59"/>
        <v>Ridge Flashing</v>
      </c>
      <c r="B867" s="763">
        <v>0</v>
      </c>
      <c r="C867" s="763">
        <v>0</v>
      </c>
      <c r="D867" s="763">
        <v>0</v>
      </c>
      <c r="E867" s="114">
        <f t="shared" si="60"/>
        <v>0</v>
      </c>
      <c r="I867" s="242"/>
      <c r="L867" s="243"/>
      <c r="V867" s="243"/>
      <c r="Y867" s="243"/>
    </row>
    <row r="868" spans="1:25" s="228" customFormat="1" ht="13.5" thickBot="1">
      <c r="A868" s="263" t="str">
        <f t="shared" si="59"/>
        <v>Side Flashing</v>
      </c>
      <c r="B868" s="763">
        <v>0</v>
      </c>
      <c r="C868" s="763">
        <v>0</v>
      </c>
      <c r="D868" s="763">
        <v>0</v>
      </c>
      <c r="E868" s="114">
        <f t="shared" si="60"/>
        <v>0</v>
      </c>
      <c r="I868" s="242"/>
      <c r="L868" s="243"/>
      <c r="V868" s="243"/>
      <c r="Y868" s="243"/>
    </row>
    <row r="869" spans="1:25" s="228" customFormat="1" ht="13.5" thickBot="1">
      <c r="A869" s="263" t="str">
        <f t="shared" si="59"/>
        <v>Gutter</v>
      </c>
      <c r="B869" s="763">
        <v>0</v>
      </c>
      <c r="C869" s="763">
        <v>0</v>
      </c>
      <c r="D869" s="763">
        <v>0</v>
      </c>
      <c r="E869" s="114">
        <f t="shared" si="60"/>
        <v>0</v>
      </c>
      <c r="I869" s="242"/>
      <c r="L869" s="243"/>
      <c r="V869" s="243"/>
      <c r="Y869" s="243"/>
    </row>
    <row r="870" spans="1:25" s="228" customFormat="1">
      <c r="D870" s="229"/>
    </row>
    <row r="871" spans="1:25" s="228" customFormat="1" ht="13.5" thickBot="1">
      <c r="D871" s="229"/>
      <c r="I871" s="244"/>
      <c r="J871" s="244"/>
      <c r="K871" s="244"/>
      <c r="L871" s="244"/>
      <c r="M871" s="244"/>
      <c r="N871" s="244"/>
      <c r="O871" s="244"/>
      <c r="P871" s="244"/>
    </row>
    <row r="872" spans="1:25" s="228" customFormat="1" ht="15.75" customHeight="1" thickBot="1">
      <c r="A872" s="125" t="s">
        <v>504</v>
      </c>
      <c r="B872" s="262" t="e">
        <f>D880</f>
        <v>#REF!</v>
      </c>
      <c r="C872" s="246"/>
      <c r="D872" s="247"/>
      <c r="E872" s="248"/>
      <c r="I872" s="244"/>
      <c r="J872" s="249"/>
      <c r="K872" s="250"/>
      <c r="L872" s="251"/>
      <c r="M872" s="950"/>
      <c r="N872" s="950"/>
      <c r="O872" s="244"/>
      <c r="P872" s="244"/>
    </row>
    <row r="873" spans="1:25" s="228" customFormat="1" ht="13.5" thickBot="1">
      <c r="D873" s="229"/>
      <c r="I873" s="244"/>
      <c r="J873" s="244"/>
      <c r="K873" s="244"/>
      <c r="L873" s="244"/>
      <c r="M873" s="244"/>
      <c r="N873" s="244"/>
      <c r="O873" s="251"/>
      <c r="P873" s="244"/>
    </row>
    <row r="874" spans="1:25" s="228" customFormat="1" ht="13.5" thickBot="1">
      <c r="A874" s="230" t="s">
        <v>382</v>
      </c>
      <c r="B874" s="231" t="s">
        <v>291</v>
      </c>
      <c r="C874" s="232" t="s">
        <v>384</v>
      </c>
      <c r="D874" s="252" t="s">
        <v>506</v>
      </c>
      <c r="E874" s="253"/>
      <c r="I874" s="244"/>
      <c r="J874" s="251"/>
      <c r="K874" s="254"/>
      <c r="L874" s="251"/>
      <c r="M874" s="251"/>
      <c r="N874" s="251"/>
      <c r="O874" s="241"/>
      <c r="P874" s="244"/>
    </row>
    <row r="875" spans="1:25" s="228" customFormat="1">
      <c r="A875" s="235"/>
      <c r="B875" s="235"/>
      <c r="C875" s="235"/>
      <c r="D875" s="255"/>
      <c r="E875" s="256"/>
      <c r="I875" s="244"/>
      <c r="J875" s="241"/>
      <c r="K875" s="241"/>
      <c r="L875" s="241"/>
      <c r="M875" s="241"/>
      <c r="N875" s="241"/>
      <c r="O875" s="250"/>
      <c r="P875" s="244"/>
    </row>
    <row r="876" spans="1:25" s="228" customFormat="1">
      <c r="A876" s="72" t="s">
        <v>507</v>
      </c>
      <c r="B876" s="237">
        <v>1</v>
      </c>
      <c r="C876" s="237">
        <v>77.528000000000006</v>
      </c>
      <c r="D876" s="257" t="e">
        <f>C876+#REF!</f>
        <v>#REF!</v>
      </c>
      <c r="E876" s="258"/>
      <c r="I876" s="244"/>
      <c r="J876" s="241"/>
      <c r="K876" s="241"/>
      <c r="L876" s="241"/>
      <c r="M876" s="241"/>
      <c r="N876" s="250"/>
      <c r="O876" s="250"/>
      <c r="P876" s="244"/>
    </row>
    <row r="877" spans="1:25" s="228" customFormat="1">
      <c r="A877" s="72" t="s">
        <v>507</v>
      </c>
      <c r="B877" s="237">
        <v>1</v>
      </c>
      <c r="C877" s="237">
        <v>133.25</v>
      </c>
      <c r="D877" s="257" t="e">
        <f>C877+#REF!</f>
        <v>#REF!</v>
      </c>
      <c r="E877" s="258"/>
      <c r="I877" s="244"/>
      <c r="J877" s="241"/>
      <c r="K877" s="241"/>
      <c r="L877" s="241"/>
      <c r="M877" s="241"/>
      <c r="N877" s="250"/>
      <c r="O877" s="250"/>
      <c r="P877" s="244"/>
    </row>
    <row r="878" spans="1:25" s="228" customFormat="1">
      <c r="A878" s="72" t="s">
        <v>507</v>
      </c>
      <c r="B878" s="237">
        <v>1</v>
      </c>
      <c r="C878" s="237">
        <v>14</v>
      </c>
      <c r="D878" s="257" t="e">
        <f>C878+#REF!</f>
        <v>#REF!</v>
      </c>
      <c r="E878" s="258"/>
      <c r="I878" s="244"/>
      <c r="J878" s="241"/>
      <c r="K878" s="241"/>
      <c r="L878" s="241"/>
      <c r="M878" s="241"/>
      <c r="N878" s="250"/>
      <c r="O878" s="250"/>
      <c r="P878" s="244"/>
    </row>
    <row r="879" spans="1:25" s="228" customFormat="1" ht="13.5" thickBot="1">
      <c r="A879" s="76"/>
      <c r="B879" s="239"/>
      <c r="C879" s="239"/>
      <c r="D879" s="259"/>
      <c r="E879" s="258"/>
      <c r="I879" s="244"/>
      <c r="J879" s="223"/>
      <c r="K879" s="241"/>
      <c r="L879" s="241"/>
      <c r="M879" s="241"/>
      <c r="N879" s="250"/>
      <c r="O879" s="101"/>
      <c r="P879" s="244"/>
    </row>
    <row r="880" spans="1:25" s="228" customFormat="1" ht="15.75" customHeight="1" thickBot="1">
      <c r="A880" s="921" t="s">
        <v>393</v>
      </c>
      <c r="B880" s="924"/>
      <c r="C880" s="925"/>
      <c r="D880" s="111" t="e">
        <f>SUM(D875:D879)</f>
        <v>#REF!</v>
      </c>
      <c r="E880" s="260"/>
      <c r="I880" s="244"/>
      <c r="J880" s="943"/>
      <c r="K880" s="943"/>
      <c r="L880" s="943"/>
      <c r="M880" s="943"/>
      <c r="N880" s="101"/>
      <c r="O880" s="244"/>
      <c r="P880" s="244"/>
    </row>
    <row r="881" spans="1:16" s="228" customFormat="1" ht="13.5" thickBot="1">
      <c r="D881" s="229"/>
      <c r="I881" s="244"/>
      <c r="J881" s="244"/>
      <c r="K881" s="244"/>
      <c r="L881" s="244"/>
      <c r="M881" s="244"/>
      <c r="N881" s="244"/>
      <c r="O881" s="244"/>
      <c r="P881" s="244"/>
    </row>
    <row r="882" spans="1:16" s="228" customFormat="1" ht="15.75" customHeight="1" thickBot="1">
      <c r="A882" s="125" t="s">
        <v>508</v>
      </c>
      <c r="B882" s="262" t="e">
        <f>D890</f>
        <v>#REF!</v>
      </c>
      <c r="C882" s="246"/>
      <c r="D882" s="247"/>
      <c r="E882" s="248"/>
      <c r="I882" s="244"/>
      <c r="J882" s="249"/>
      <c r="K882" s="250"/>
      <c r="L882" s="251"/>
      <c r="M882" s="950"/>
      <c r="N882" s="950"/>
      <c r="O882" s="244"/>
      <c r="P882" s="244"/>
    </row>
    <row r="883" spans="1:16" s="228" customFormat="1" ht="13.5" thickBot="1">
      <c r="D883" s="229"/>
      <c r="I883" s="244"/>
      <c r="J883" s="244"/>
      <c r="K883" s="244"/>
      <c r="L883" s="244"/>
      <c r="M883" s="244"/>
      <c r="N883" s="244"/>
      <c r="O883" s="251"/>
      <c r="P883" s="244"/>
    </row>
    <row r="884" spans="1:16" s="228" customFormat="1" ht="13.5" thickBot="1">
      <c r="A884" s="230" t="s">
        <v>382</v>
      </c>
      <c r="B884" s="231" t="s">
        <v>291</v>
      </c>
      <c r="C884" s="232"/>
      <c r="D884" s="252" t="s">
        <v>506</v>
      </c>
      <c r="E884" s="253"/>
      <c r="I884" s="244"/>
      <c r="J884" s="251"/>
      <c r="K884" s="254"/>
      <c r="L884" s="251"/>
      <c r="M884" s="251"/>
      <c r="N884" s="251"/>
      <c r="O884" s="241"/>
      <c r="P884" s="244"/>
    </row>
    <row r="885" spans="1:16" s="228" customFormat="1">
      <c r="A885" s="235"/>
      <c r="B885" s="235"/>
      <c r="C885" s="235"/>
      <c r="D885" s="255"/>
      <c r="E885" s="256"/>
      <c r="I885" s="244"/>
      <c r="J885" s="241"/>
      <c r="K885" s="241"/>
      <c r="L885" s="241"/>
      <c r="M885" s="241"/>
      <c r="N885" s="241"/>
      <c r="O885" s="250"/>
      <c r="P885" s="244"/>
    </row>
    <row r="886" spans="1:16" s="228" customFormat="1">
      <c r="A886" s="261" t="s">
        <v>517</v>
      </c>
      <c r="B886" s="237">
        <v>1</v>
      </c>
      <c r="C886" s="237">
        <v>77.528000000000006</v>
      </c>
      <c r="D886" s="257" t="e">
        <f>C886+#REF!</f>
        <v>#REF!</v>
      </c>
      <c r="E886" s="258"/>
      <c r="I886" s="244"/>
      <c r="J886" s="241"/>
      <c r="K886" s="241"/>
      <c r="L886" s="241"/>
      <c r="M886" s="241"/>
      <c r="N886" s="250"/>
      <c r="O886" s="250"/>
      <c r="P886" s="244"/>
    </row>
    <row r="887" spans="1:16" s="228" customFormat="1">
      <c r="A887" s="261" t="s">
        <v>517</v>
      </c>
      <c r="B887" s="237">
        <v>1</v>
      </c>
      <c r="C887" s="237">
        <v>133.25</v>
      </c>
      <c r="D887" s="257" t="e">
        <f>C887+#REF!</f>
        <v>#REF!</v>
      </c>
      <c r="E887" s="258"/>
      <c r="I887" s="244"/>
      <c r="J887" s="241"/>
      <c r="K887" s="241"/>
      <c r="L887" s="241"/>
      <c r="M887" s="241"/>
      <c r="N887" s="250"/>
      <c r="O887" s="250"/>
      <c r="P887" s="244"/>
    </row>
    <row r="888" spans="1:16" s="228" customFormat="1">
      <c r="A888" s="261" t="s">
        <v>517</v>
      </c>
      <c r="B888" s="237">
        <v>1</v>
      </c>
      <c r="C888" s="237">
        <v>14</v>
      </c>
      <c r="D888" s="257" t="e">
        <f>C888+#REF!</f>
        <v>#REF!</v>
      </c>
      <c r="E888" s="258"/>
      <c r="I888" s="244"/>
      <c r="J888" s="241"/>
      <c r="K888" s="241"/>
      <c r="L888" s="241"/>
      <c r="M888" s="241"/>
      <c r="N888" s="250"/>
      <c r="O888" s="250"/>
      <c r="P888" s="244"/>
    </row>
    <row r="889" spans="1:16" s="228" customFormat="1" ht="13.5" thickBot="1">
      <c r="A889" s="76"/>
      <c r="B889" s="239"/>
      <c r="C889" s="239"/>
      <c r="D889" s="259"/>
      <c r="E889" s="258"/>
      <c r="I889" s="244"/>
      <c r="J889" s="223"/>
      <c r="K889" s="241"/>
      <c r="L889" s="241"/>
      <c r="M889" s="241"/>
      <c r="N889" s="250"/>
      <c r="O889" s="101"/>
      <c r="P889" s="244"/>
    </row>
    <row r="890" spans="1:16" s="228" customFormat="1" ht="15.75" customHeight="1" thickBot="1">
      <c r="A890" s="921" t="s">
        <v>393</v>
      </c>
      <c r="B890" s="924"/>
      <c r="C890" s="925"/>
      <c r="D890" s="111" t="e">
        <f>SUM(D885:D889)</f>
        <v>#REF!</v>
      </c>
      <c r="E890" s="260"/>
      <c r="I890" s="244"/>
      <c r="J890" s="943"/>
      <c r="K890" s="943"/>
      <c r="L890" s="943"/>
      <c r="M890" s="943"/>
      <c r="N890" s="101"/>
      <c r="O890" s="244"/>
      <c r="P890" s="244"/>
    </row>
  </sheetData>
  <mergeCells count="96">
    <mergeCell ref="A890:C890"/>
    <mergeCell ref="J890:M890"/>
    <mergeCell ref="A846:C846"/>
    <mergeCell ref="A848:C848"/>
    <mergeCell ref="M872:N872"/>
    <mergeCell ref="A880:C880"/>
    <mergeCell ref="J880:M880"/>
    <mergeCell ref="M882:N882"/>
    <mergeCell ref="N814:O814"/>
    <mergeCell ref="A822:D822"/>
    <mergeCell ref="K822:N822"/>
    <mergeCell ref="N824:O824"/>
    <mergeCell ref="A831:D831"/>
    <mergeCell ref="K831:N831"/>
    <mergeCell ref="A790:D790"/>
    <mergeCell ref="A650:D650"/>
    <mergeCell ref="A672:E672"/>
    <mergeCell ref="H672:L672"/>
    <mergeCell ref="A681:D681"/>
    <mergeCell ref="H681:J681"/>
    <mergeCell ref="A719:D719"/>
    <mergeCell ref="A741:E741"/>
    <mergeCell ref="H741:L741"/>
    <mergeCell ref="A750:D750"/>
    <mergeCell ref="H750:J750"/>
    <mergeCell ref="A788:D788"/>
    <mergeCell ref="A612:D612"/>
    <mergeCell ref="H612:J612"/>
    <mergeCell ref="A243:E243"/>
    <mergeCell ref="H243:L243"/>
    <mergeCell ref="O243:R243"/>
    <mergeCell ref="A253:D253"/>
    <mergeCell ref="H253:J253"/>
    <mergeCell ref="O253:R253"/>
    <mergeCell ref="A296:D296"/>
    <mergeCell ref="A304:D304"/>
    <mergeCell ref="H304:J304"/>
    <mergeCell ref="A603:E603"/>
    <mergeCell ref="H603:L603"/>
    <mergeCell ref="A177:D177"/>
    <mergeCell ref="H177:J177"/>
    <mergeCell ref="O177:R177"/>
    <mergeCell ref="A220:D220"/>
    <mergeCell ref="A228:D228"/>
    <mergeCell ref="H228:J228"/>
    <mergeCell ref="A167:E167"/>
    <mergeCell ref="H167:L167"/>
    <mergeCell ref="O167:R167"/>
    <mergeCell ref="S124:T124"/>
    <mergeCell ref="P128:S128"/>
    <mergeCell ref="A131:E131"/>
    <mergeCell ref="A135:E135"/>
    <mergeCell ref="S137:T137"/>
    <mergeCell ref="P142:S142"/>
    <mergeCell ref="A143:E143"/>
    <mergeCell ref="P147:R147"/>
    <mergeCell ref="A151:D151"/>
    <mergeCell ref="H151:J151"/>
    <mergeCell ref="O157:S157"/>
    <mergeCell ref="S106:T106"/>
    <mergeCell ref="A114:E114"/>
    <mergeCell ref="H114:L114"/>
    <mergeCell ref="P114:S114"/>
    <mergeCell ref="A122:E122"/>
    <mergeCell ref="H122:L122"/>
    <mergeCell ref="A82:E82"/>
    <mergeCell ref="H85:I85"/>
    <mergeCell ref="A92:E92"/>
    <mergeCell ref="H92:L92"/>
    <mergeCell ref="O97:Q100"/>
    <mergeCell ref="A100:E100"/>
    <mergeCell ref="H100:L100"/>
    <mergeCell ref="A55:E55"/>
    <mergeCell ref="H55:L55"/>
    <mergeCell ref="B65:F65"/>
    <mergeCell ref="I67:J67"/>
    <mergeCell ref="A73:E73"/>
    <mergeCell ref="I73:M73"/>
    <mergeCell ref="O40:P40"/>
    <mergeCell ref="T40:U40"/>
    <mergeCell ref="O43:R43"/>
    <mergeCell ref="T43:W43"/>
    <mergeCell ref="A49:E49"/>
    <mergeCell ref="H49:L49"/>
    <mergeCell ref="H40:I40"/>
    <mergeCell ref="I24:J24"/>
    <mergeCell ref="A31:E31"/>
    <mergeCell ref="I31:M31"/>
    <mergeCell ref="A38:E38"/>
    <mergeCell ref="I38:M38"/>
    <mergeCell ref="B1:F1"/>
    <mergeCell ref="I4:J4"/>
    <mergeCell ref="A11:E11"/>
    <mergeCell ref="I11:M11"/>
    <mergeCell ref="A18:E18"/>
    <mergeCell ref="I18:M18"/>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C4297-64F5-491E-B55A-6DD33197C0DC}">
  <sheetPr>
    <tabColor rgb="FFFF0000"/>
  </sheetPr>
  <dimension ref="A1:AQ919"/>
  <sheetViews>
    <sheetView topLeftCell="A93" zoomScale="115" zoomScaleNormal="115" workbookViewId="0">
      <selection activeCell="A33" sqref="A33:G33"/>
    </sheetView>
  </sheetViews>
  <sheetFormatPr defaultRowHeight="12.75"/>
  <cols>
    <col min="1" max="1" width="28.140625" style="8" customWidth="1"/>
    <col min="2" max="2" width="11.28515625" style="8" customWidth="1"/>
    <col min="3" max="3" width="8.85546875" style="8" customWidth="1"/>
    <col min="4" max="4" width="11.85546875" style="8" customWidth="1"/>
    <col min="5" max="5" width="9.140625" style="8"/>
    <col min="6" max="6" width="10.7109375" style="8" customWidth="1"/>
    <col min="7" max="7" width="12.5703125" style="8" customWidth="1"/>
    <col min="8" max="8" width="10.85546875" style="8" customWidth="1"/>
    <col min="9" max="9" width="9.140625" style="8"/>
    <col min="10" max="10" width="9.7109375" style="8" customWidth="1"/>
    <col min="11" max="11" width="10.140625" style="8" customWidth="1"/>
    <col min="12" max="12" width="9.85546875" style="8" customWidth="1"/>
    <col min="13" max="14" width="9.140625" style="8"/>
    <col min="15" max="15" width="10.5703125" style="8" customWidth="1"/>
    <col min="16" max="16" width="10.42578125" style="8" customWidth="1"/>
    <col min="17" max="16384" width="9.140625" style="8"/>
  </cols>
  <sheetData>
    <row r="1" spans="1:43" ht="13.5" thickBot="1"/>
    <row r="2" spans="1:43" s="579" customFormat="1" ht="15.75" thickBot="1">
      <c r="A2" s="578" t="s">
        <v>104</v>
      </c>
    </row>
    <row r="4" spans="1:43" ht="15.75" thickBot="1">
      <c r="A4" s="59" t="s">
        <v>526</v>
      </c>
    </row>
    <row r="5" spans="1:43" s="56" customFormat="1" ht="15.75" thickBot="1">
      <c r="A5" s="286" t="s">
        <v>527</v>
      </c>
      <c r="B5" s="287">
        <f>D13-G36</f>
        <v>265.01063999999991</v>
      </c>
      <c r="C5" s="282" t="s">
        <v>84</v>
      </c>
      <c r="D5" s="275"/>
      <c r="E5" s="127"/>
      <c r="F5" s="580"/>
      <c r="G5" s="276"/>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276"/>
      <c r="AH5" s="127"/>
      <c r="AI5" s="127"/>
      <c r="AJ5" s="127"/>
      <c r="AK5" s="127"/>
      <c r="AL5" s="127"/>
      <c r="AM5" s="127"/>
      <c r="AN5" s="127"/>
      <c r="AO5" s="127"/>
      <c r="AP5" s="127"/>
      <c r="AQ5" s="276"/>
    </row>
    <row r="6" spans="1:43" ht="13.5" thickBot="1"/>
    <row r="7" spans="1:43" ht="13.5" thickBot="1">
      <c r="A7" s="283" t="s">
        <v>382</v>
      </c>
      <c r="B7" s="284" t="s">
        <v>383</v>
      </c>
      <c r="C7" s="284" t="s">
        <v>385</v>
      </c>
      <c r="D7" s="285" t="s">
        <v>408</v>
      </c>
    </row>
    <row r="8" spans="1:43">
      <c r="A8" s="61"/>
      <c r="B8" s="82"/>
      <c r="C8" s="82"/>
      <c r="D8" s="82"/>
    </row>
    <row r="9" spans="1:43" ht="15">
      <c r="A9" s="67" t="s">
        <v>528</v>
      </c>
      <c r="B9" s="78">
        <f>P16</f>
        <v>40.871999999999993</v>
      </c>
      <c r="C9" s="78">
        <f>3-0.43+1</f>
        <v>3.57</v>
      </c>
      <c r="D9" s="79">
        <f>C9*B9</f>
        <v>145.91303999999997</v>
      </c>
      <c r="E9" s="75" t="s">
        <v>529</v>
      </c>
      <c r="F9" s="75"/>
      <c r="G9" s="75"/>
    </row>
    <row r="10" spans="1:43" ht="15">
      <c r="A10" s="67" t="s">
        <v>530</v>
      </c>
      <c r="B10" s="78">
        <f>P17</f>
        <v>29.615999999999996</v>
      </c>
      <c r="C10" s="78">
        <f>3-0.15+1</f>
        <v>3.85</v>
      </c>
      <c r="D10" s="79">
        <f>C10*B10</f>
        <v>114.02159999999999</v>
      </c>
      <c r="E10" s="75" t="s">
        <v>529</v>
      </c>
      <c r="F10" s="75"/>
      <c r="G10" s="75"/>
    </row>
    <row r="11" spans="1:43" ht="15">
      <c r="A11" s="67" t="s">
        <v>530</v>
      </c>
      <c r="B11" s="78">
        <f>P18</f>
        <v>14.73</v>
      </c>
      <c r="C11" s="78">
        <v>1.2</v>
      </c>
      <c r="D11" s="79">
        <f>C11*B11</f>
        <v>17.675999999999998</v>
      </c>
      <c r="E11" s="75" t="s">
        <v>529</v>
      </c>
      <c r="F11" s="75"/>
      <c r="G11" s="75"/>
    </row>
    <row r="12" spans="1:43" ht="15.75" thickBot="1">
      <c r="A12" s="67"/>
      <c r="B12" s="78"/>
      <c r="C12" s="78"/>
      <c r="D12" s="79"/>
    </row>
    <row r="13" spans="1:43" ht="15.75" thickBot="1">
      <c r="A13" s="958" t="s">
        <v>393</v>
      </c>
      <c r="B13" s="959"/>
      <c r="C13" s="960"/>
      <c r="D13" s="77">
        <f>SUM(D8:D12)</f>
        <v>277.61063999999993</v>
      </c>
    </row>
    <row r="15" spans="1:43" ht="15.75" thickBot="1">
      <c r="A15" s="59" t="s">
        <v>531</v>
      </c>
    </row>
    <row r="16" spans="1:43" s="56" customFormat="1" ht="17.25" customHeight="1" thickBot="1">
      <c r="A16" s="764" t="str">
        <f>A9</f>
        <v>150mm outer wall (Beam Line)</v>
      </c>
      <c r="B16" s="765">
        <v>5.0140000000000002</v>
      </c>
      <c r="C16" s="765">
        <v>4.2039999999999997</v>
      </c>
      <c r="D16" s="765">
        <v>4.2039999999999997</v>
      </c>
      <c r="E16" s="765">
        <v>2.6269999999999998</v>
      </c>
      <c r="F16" s="765">
        <v>0.15</v>
      </c>
      <c r="G16" s="765">
        <v>1.8979999999999999</v>
      </c>
      <c r="H16" s="765">
        <v>1.1499999999999999</v>
      </c>
      <c r="I16" s="765">
        <f>0.31+1.264</f>
        <v>1.5740000000000001</v>
      </c>
      <c r="J16" s="765">
        <v>3.76</v>
      </c>
      <c r="K16" s="765">
        <v>5.5549999999999997</v>
      </c>
      <c r="L16" s="765">
        <v>5.3920000000000003</v>
      </c>
      <c r="M16" s="765">
        <v>1.675</v>
      </c>
      <c r="N16" s="765">
        <f>1.314+2.355</f>
        <v>3.669</v>
      </c>
      <c r="O16" s="765">
        <v>0</v>
      </c>
      <c r="P16" s="282">
        <f>SUM(B16:O16)</f>
        <v>40.871999999999993</v>
      </c>
      <c r="Q16" s="127"/>
      <c r="R16" s="127"/>
      <c r="S16" s="127"/>
      <c r="T16" s="127"/>
      <c r="U16" s="127"/>
      <c r="V16" s="127"/>
      <c r="W16" s="127"/>
      <c r="X16" s="127"/>
      <c r="Y16" s="127"/>
      <c r="Z16" s="127"/>
      <c r="AA16" s="127"/>
      <c r="AB16" s="276"/>
      <c r="AC16" s="127"/>
      <c r="AD16" s="127"/>
      <c r="AE16" s="127"/>
      <c r="AF16" s="127"/>
      <c r="AG16" s="276"/>
      <c r="AH16" s="127"/>
      <c r="AI16" s="127"/>
      <c r="AJ16" s="127"/>
      <c r="AK16" s="127"/>
      <c r="AL16" s="127"/>
      <c r="AM16" s="127"/>
      <c r="AN16" s="127"/>
      <c r="AO16" s="127"/>
      <c r="AP16" s="127"/>
      <c r="AQ16" s="276"/>
    </row>
    <row r="17" spans="1:43" s="56" customFormat="1" ht="17.25" customHeight="1" thickBot="1">
      <c r="A17" s="764" t="str">
        <f>A10</f>
        <v>150mm outer wall (Slab Line)</v>
      </c>
      <c r="B17" s="765">
        <v>5.6150000000000002</v>
      </c>
      <c r="C17" s="765">
        <v>3.67</v>
      </c>
      <c r="D17" s="765">
        <v>1.5840000000000001</v>
      </c>
      <c r="E17" s="765">
        <v>2.0310000000000001</v>
      </c>
      <c r="F17" s="765">
        <v>2.4</v>
      </c>
      <c r="G17" s="765">
        <v>2.65</v>
      </c>
      <c r="H17" s="765">
        <v>4.0999999999999996</v>
      </c>
      <c r="I17" s="765">
        <f>1.1+2.23</f>
        <v>3.33</v>
      </c>
      <c r="J17" s="765">
        <v>1.3759999999999999</v>
      </c>
      <c r="K17" s="765">
        <v>2.86</v>
      </c>
      <c r="L17" s="765">
        <v>0</v>
      </c>
      <c r="M17" s="765">
        <v>0</v>
      </c>
      <c r="N17" s="765">
        <v>0</v>
      </c>
      <c r="O17" s="765">
        <v>0</v>
      </c>
      <c r="P17" s="282">
        <f>SUM(B17:O17)</f>
        <v>29.615999999999996</v>
      </c>
      <c r="Q17" s="127"/>
      <c r="R17" s="127"/>
      <c r="S17" s="127"/>
      <c r="T17" s="127"/>
      <c r="U17" s="127"/>
      <c r="V17" s="127"/>
      <c r="W17" s="127"/>
      <c r="X17" s="127"/>
      <c r="Y17" s="127"/>
      <c r="Z17" s="127"/>
      <c r="AA17" s="127"/>
      <c r="AB17" s="276"/>
      <c r="AC17" s="127"/>
      <c r="AD17" s="127"/>
      <c r="AE17" s="127"/>
      <c r="AF17" s="127"/>
      <c r="AG17" s="276"/>
      <c r="AH17" s="127"/>
      <c r="AI17" s="127"/>
      <c r="AJ17" s="127"/>
      <c r="AK17" s="127"/>
      <c r="AL17" s="127"/>
      <c r="AM17" s="127"/>
      <c r="AN17" s="127"/>
      <c r="AO17" s="127"/>
      <c r="AP17" s="127"/>
      <c r="AQ17" s="276"/>
    </row>
    <row r="18" spans="1:43" s="56" customFormat="1" ht="17.25" customHeight="1" thickBot="1">
      <c r="A18" s="764" t="str">
        <f>A11</f>
        <v>150mm outer wall (Slab Line)</v>
      </c>
      <c r="B18" s="765">
        <v>4.1630000000000003</v>
      </c>
      <c r="C18" s="765">
        <v>1.661</v>
      </c>
      <c r="D18" s="765">
        <v>1.0680000000000001</v>
      </c>
      <c r="E18" s="765">
        <v>2.145</v>
      </c>
      <c r="F18" s="765">
        <v>2.145</v>
      </c>
      <c r="G18" s="765">
        <v>1.774</v>
      </c>
      <c r="H18" s="765">
        <v>1.774</v>
      </c>
      <c r="I18" s="765">
        <v>0</v>
      </c>
      <c r="J18" s="765">
        <v>0</v>
      </c>
      <c r="K18" s="765">
        <v>0</v>
      </c>
      <c r="L18" s="765">
        <v>0</v>
      </c>
      <c r="M18" s="765">
        <v>0</v>
      </c>
      <c r="N18" s="765">
        <v>0</v>
      </c>
      <c r="O18" s="765">
        <v>0</v>
      </c>
      <c r="P18" s="282">
        <f>SUM(B18:O18)</f>
        <v>14.73</v>
      </c>
      <c r="Q18" s="127"/>
      <c r="R18" s="127"/>
      <c r="S18" s="127"/>
      <c r="T18" s="127"/>
      <c r="U18" s="127"/>
      <c r="V18" s="127"/>
      <c r="W18" s="127"/>
      <c r="X18" s="127"/>
      <c r="Y18" s="127"/>
      <c r="Z18" s="127"/>
      <c r="AA18" s="127"/>
      <c r="AB18" s="276"/>
      <c r="AC18" s="127"/>
      <c r="AD18" s="127"/>
      <c r="AE18" s="127"/>
      <c r="AF18" s="127"/>
      <c r="AG18" s="276"/>
      <c r="AH18" s="127"/>
      <c r="AI18" s="127"/>
      <c r="AJ18" s="127"/>
      <c r="AK18" s="127"/>
      <c r="AL18" s="127"/>
      <c r="AM18" s="127"/>
      <c r="AN18" s="127"/>
      <c r="AO18" s="127"/>
      <c r="AP18" s="127"/>
      <c r="AQ18" s="276"/>
    </row>
    <row r="20" spans="1:43" ht="15.75" thickBot="1">
      <c r="A20" s="59" t="s">
        <v>447</v>
      </c>
    </row>
    <row r="21" spans="1:43" s="56" customFormat="1" ht="15.75" customHeight="1" thickBot="1">
      <c r="A21" s="310" t="s">
        <v>382</v>
      </c>
      <c r="B21" s="311" t="s">
        <v>82</v>
      </c>
      <c r="C21" s="311" t="s">
        <v>291</v>
      </c>
      <c r="D21" s="311" t="s">
        <v>384</v>
      </c>
      <c r="E21" s="311" t="s">
        <v>385</v>
      </c>
      <c r="F21" s="313" t="s">
        <v>409</v>
      </c>
      <c r="G21" s="314" t="s">
        <v>532</v>
      </c>
      <c r="H21" s="961" t="s">
        <v>533</v>
      </c>
      <c r="I21" s="962"/>
      <c r="J21" s="962"/>
      <c r="K21" s="962"/>
      <c r="L21" s="962"/>
      <c r="M21" s="962"/>
      <c r="N21" s="962"/>
      <c r="O21" s="963"/>
      <c r="P21" s="315" t="s">
        <v>532</v>
      </c>
    </row>
    <row r="22" spans="1:43">
      <c r="A22" s="61"/>
      <c r="B22" s="61"/>
      <c r="C22" s="61"/>
      <c r="D22" s="61"/>
      <c r="E22" s="61"/>
      <c r="F22" s="61"/>
      <c r="G22" s="61"/>
      <c r="N22" s="69"/>
      <c r="O22" s="70"/>
      <c r="P22" s="61"/>
    </row>
    <row r="23" spans="1:43" ht="15">
      <c r="A23" s="62" t="s">
        <v>534</v>
      </c>
      <c r="B23" s="309" t="s">
        <v>535</v>
      </c>
      <c r="C23" s="73">
        <f>P23</f>
        <v>1</v>
      </c>
      <c r="D23" s="73">
        <v>0.9</v>
      </c>
      <c r="E23" s="73">
        <v>1.5</v>
      </c>
      <c r="F23" s="79">
        <f>E23*D23</f>
        <v>1.35</v>
      </c>
      <c r="G23" s="79">
        <f>F23*C23</f>
        <v>1.35</v>
      </c>
      <c r="H23" s="102">
        <v>1</v>
      </c>
      <c r="I23" s="102">
        <v>0</v>
      </c>
      <c r="J23" s="102">
        <v>0</v>
      </c>
      <c r="K23" s="75">
        <v>0</v>
      </c>
      <c r="L23" s="75">
        <v>0</v>
      </c>
      <c r="M23" s="75">
        <v>0</v>
      </c>
      <c r="N23" s="75">
        <v>0</v>
      </c>
      <c r="O23" s="766">
        <v>0</v>
      </c>
      <c r="P23" s="79">
        <f>SUM(H23:O23)</f>
        <v>1</v>
      </c>
    </row>
    <row r="24" spans="1:43" ht="15">
      <c r="A24" s="63"/>
      <c r="B24" s="309" t="s">
        <v>536</v>
      </c>
      <c r="C24" s="73">
        <f t="shared" ref="C24:C25" si="0">P24</f>
        <v>1</v>
      </c>
      <c r="D24" s="73">
        <v>1.8</v>
      </c>
      <c r="E24" s="73">
        <v>1.5</v>
      </c>
      <c r="F24" s="79">
        <f t="shared" ref="F24:F25" si="1">E24*D24</f>
        <v>2.7</v>
      </c>
      <c r="G24" s="79">
        <f t="shared" ref="G24:G25" si="2">F24*C24</f>
        <v>2.7</v>
      </c>
      <c r="H24" s="102">
        <v>1</v>
      </c>
      <c r="I24" s="102">
        <v>0</v>
      </c>
      <c r="J24" s="75">
        <v>0</v>
      </c>
      <c r="K24" s="75">
        <v>0</v>
      </c>
      <c r="L24" s="75">
        <v>0</v>
      </c>
      <c r="M24" s="75">
        <v>0</v>
      </c>
      <c r="N24" s="75">
        <v>0</v>
      </c>
      <c r="O24" s="766">
        <v>0</v>
      </c>
      <c r="P24" s="79">
        <f t="shared" ref="P24:P25" si="3">SUM(H24:O24)</f>
        <v>1</v>
      </c>
    </row>
    <row r="25" spans="1:43" ht="15">
      <c r="A25" s="63"/>
      <c r="B25" s="309" t="s">
        <v>537</v>
      </c>
      <c r="C25" s="73">
        <f t="shared" si="0"/>
        <v>1</v>
      </c>
      <c r="D25" s="73">
        <v>0.95</v>
      </c>
      <c r="E25" s="73">
        <v>2.25</v>
      </c>
      <c r="F25" s="79">
        <f t="shared" si="1"/>
        <v>2.1374999999999997</v>
      </c>
      <c r="G25" s="79">
        <f t="shared" si="2"/>
        <v>2.1374999999999997</v>
      </c>
      <c r="H25" s="102">
        <v>1</v>
      </c>
      <c r="I25" s="102">
        <v>0</v>
      </c>
      <c r="J25" s="75">
        <v>0</v>
      </c>
      <c r="K25" s="75">
        <v>0</v>
      </c>
      <c r="L25" s="75">
        <v>0</v>
      </c>
      <c r="M25" s="75">
        <v>0</v>
      </c>
      <c r="N25" s="75">
        <v>0</v>
      </c>
      <c r="O25" s="766">
        <v>0</v>
      </c>
      <c r="P25" s="79">
        <f t="shared" si="3"/>
        <v>1</v>
      </c>
    </row>
    <row r="26" spans="1:43" ht="15">
      <c r="A26" s="63"/>
      <c r="B26" s="309"/>
      <c r="C26" s="73"/>
      <c r="D26" s="73"/>
      <c r="E26" s="73"/>
      <c r="F26" s="79"/>
      <c r="G26" s="79"/>
      <c r="H26" s="102"/>
      <c r="I26" s="102"/>
      <c r="J26" s="102"/>
      <c r="O26" s="217"/>
      <c r="P26" s="79"/>
    </row>
    <row r="27" spans="1:43" ht="15">
      <c r="A27" s="62" t="s">
        <v>538</v>
      </c>
      <c r="B27" s="309" t="s">
        <v>539</v>
      </c>
      <c r="C27" s="73">
        <f t="shared" ref="C27:C34" si="4">P27</f>
        <v>3</v>
      </c>
      <c r="D27" s="73">
        <v>0.95</v>
      </c>
      <c r="E27" s="73">
        <v>2.25</v>
      </c>
      <c r="F27" s="79">
        <f t="shared" ref="F27:F34" si="5">E27*D27</f>
        <v>2.1374999999999997</v>
      </c>
      <c r="G27" s="79">
        <f t="shared" ref="G27:G34" si="6">F27*C27</f>
        <v>6.4124999999999996</v>
      </c>
      <c r="H27" s="102">
        <v>1</v>
      </c>
      <c r="I27" s="75">
        <v>2</v>
      </c>
      <c r="J27" s="75">
        <v>0</v>
      </c>
      <c r="K27" s="75">
        <v>0</v>
      </c>
      <c r="L27" s="75">
        <v>0</v>
      </c>
      <c r="M27" s="75">
        <v>0</v>
      </c>
      <c r="N27" s="75">
        <v>0</v>
      </c>
      <c r="O27" s="766">
        <v>0</v>
      </c>
      <c r="P27" s="79">
        <f t="shared" ref="P27:P34" si="7">SUM(H27:O27)</f>
        <v>3</v>
      </c>
    </row>
    <row r="28" spans="1:43" ht="15">
      <c r="A28" s="598"/>
      <c r="B28" s="309" t="s">
        <v>536</v>
      </c>
      <c r="C28" s="73">
        <f t="shared" si="4"/>
        <v>1</v>
      </c>
      <c r="D28" s="73">
        <v>1.8</v>
      </c>
      <c r="E28" s="73">
        <v>1.5</v>
      </c>
      <c r="F28" s="79">
        <f t="shared" si="5"/>
        <v>2.7</v>
      </c>
      <c r="G28" s="79">
        <f t="shared" si="6"/>
        <v>2.7</v>
      </c>
      <c r="H28" s="102">
        <v>1</v>
      </c>
      <c r="I28" s="75">
        <v>0</v>
      </c>
      <c r="J28" s="75">
        <v>0</v>
      </c>
      <c r="K28" s="75">
        <v>0</v>
      </c>
      <c r="L28" s="75">
        <v>0</v>
      </c>
      <c r="M28" s="75">
        <v>0</v>
      </c>
      <c r="N28" s="75">
        <v>0</v>
      </c>
      <c r="O28" s="766">
        <v>0</v>
      </c>
      <c r="P28" s="79">
        <f t="shared" si="7"/>
        <v>1</v>
      </c>
    </row>
    <row r="29" spans="1:43" ht="15">
      <c r="A29" s="598"/>
      <c r="B29" s="309" t="s">
        <v>535</v>
      </c>
      <c r="C29" s="73">
        <f t="shared" si="4"/>
        <v>1</v>
      </c>
      <c r="D29" s="73">
        <v>0.9</v>
      </c>
      <c r="E29" s="73">
        <v>1.5</v>
      </c>
      <c r="F29" s="79">
        <f t="shared" si="5"/>
        <v>1.35</v>
      </c>
      <c r="G29" s="79">
        <f t="shared" si="6"/>
        <v>1.35</v>
      </c>
      <c r="H29" s="102">
        <v>1</v>
      </c>
      <c r="I29" s="75">
        <v>0</v>
      </c>
      <c r="J29" s="75">
        <v>0</v>
      </c>
      <c r="K29" s="75">
        <v>0</v>
      </c>
      <c r="L29" s="75">
        <v>0</v>
      </c>
      <c r="M29" s="75">
        <v>0</v>
      </c>
      <c r="N29" s="75">
        <v>0</v>
      </c>
      <c r="O29" s="766">
        <v>0</v>
      </c>
      <c r="P29" s="79">
        <f t="shared" si="7"/>
        <v>1</v>
      </c>
    </row>
    <row r="30" spans="1:43" ht="15">
      <c r="A30" s="598"/>
      <c r="B30" s="309" t="s">
        <v>540</v>
      </c>
      <c r="C30" s="73">
        <f t="shared" si="4"/>
        <v>1</v>
      </c>
      <c r="D30" s="73">
        <v>1.5169999999999999</v>
      </c>
      <c r="E30" s="73">
        <v>1.5</v>
      </c>
      <c r="F30" s="79">
        <f t="shared" si="5"/>
        <v>2.2755000000000001</v>
      </c>
      <c r="G30" s="79">
        <f t="shared" si="6"/>
        <v>2.2755000000000001</v>
      </c>
      <c r="H30" s="102">
        <v>1</v>
      </c>
      <c r="I30" s="75">
        <v>0</v>
      </c>
      <c r="J30" s="75">
        <v>0</v>
      </c>
      <c r="K30" s="75">
        <v>0</v>
      </c>
      <c r="L30" s="75">
        <v>0</v>
      </c>
      <c r="M30" s="75">
        <v>0</v>
      </c>
      <c r="N30" s="75">
        <v>0</v>
      </c>
      <c r="O30" s="766">
        <v>0</v>
      </c>
      <c r="P30" s="79">
        <f t="shared" si="7"/>
        <v>1</v>
      </c>
    </row>
    <row r="31" spans="1:43" ht="15">
      <c r="A31" s="598"/>
      <c r="B31" s="309" t="s">
        <v>541</v>
      </c>
      <c r="C31" s="73">
        <f t="shared" si="4"/>
        <v>1</v>
      </c>
      <c r="D31" s="73">
        <v>1.7</v>
      </c>
      <c r="E31" s="73">
        <v>2.4500000000000002</v>
      </c>
      <c r="F31" s="79">
        <f t="shared" si="5"/>
        <v>4.165</v>
      </c>
      <c r="G31" s="79">
        <f t="shared" si="6"/>
        <v>4.165</v>
      </c>
      <c r="H31" s="102">
        <v>1</v>
      </c>
      <c r="I31" s="75">
        <v>0</v>
      </c>
      <c r="J31" s="75">
        <v>0</v>
      </c>
      <c r="K31" s="75">
        <v>0</v>
      </c>
      <c r="L31" s="75">
        <v>0</v>
      </c>
      <c r="M31" s="75">
        <v>0</v>
      </c>
      <c r="N31" s="75">
        <v>0</v>
      </c>
      <c r="O31" s="766">
        <v>0</v>
      </c>
      <c r="P31" s="79">
        <f t="shared" si="7"/>
        <v>1</v>
      </c>
    </row>
    <row r="32" spans="1:43" ht="15">
      <c r="A32" s="598"/>
      <c r="B32" s="309" t="s">
        <v>542</v>
      </c>
      <c r="C32" s="73">
        <f t="shared" si="4"/>
        <v>1</v>
      </c>
      <c r="D32" s="73">
        <v>2.4500000000000002</v>
      </c>
      <c r="E32" s="73">
        <v>2.25</v>
      </c>
      <c r="F32" s="79">
        <f t="shared" si="5"/>
        <v>5.5125000000000002</v>
      </c>
      <c r="G32" s="79">
        <f t="shared" si="6"/>
        <v>5.5125000000000002</v>
      </c>
      <c r="H32" s="102">
        <v>1</v>
      </c>
      <c r="I32" s="75">
        <v>0</v>
      </c>
      <c r="J32" s="75">
        <v>0</v>
      </c>
      <c r="K32" s="75">
        <v>0</v>
      </c>
      <c r="L32" s="75">
        <v>0</v>
      </c>
      <c r="M32" s="75">
        <v>0</v>
      </c>
      <c r="N32" s="75">
        <v>0</v>
      </c>
      <c r="O32" s="766">
        <v>0</v>
      </c>
      <c r="P32" s="79">
        <f t="shared" si="7"/>
        <v>1</v>
      </c>
    </row>
    <row r="33" spans="1:43" ht="15">
      <c r="A33" s="598"/>
      <c r="B33" s="309" t="s">
        <v>543</v>
      </c>
      <c r="C33" s="73">
        <f t="shared" si="4"/>
        <v>1</v>
      </c>
      <c r="D33" s="73">
        <v>2.15</v>
      </c>
      <c r="E33" s="73">
        <v>2.6</v>
      </c>
      <c r="F33" s="79">
        <f t="shared" si="5"/>
        <v>5.59</v>
      </c>
      <c r="G33" s="79">
        <f t="shared" si="6"/>
        <v>5.59</v>
      </c>
      <c r="H33" s="102">
        <v>1</v>
      </c>
      <c r="I33" s="75">
        <v>0</v>
      </c>
      <c r="J33" s="75">
        <v>0</v>
      </c>
      <c r="K33" s="75">
        <v>0</v>
      </c>
      <c r="L33" s="75">
        <v>0</v>
      </c>
      <c r="M33" s="75">
        <v>0</v>
      </c>
      <c r="N33" s="75">
        <v>0</v>
      </c>
      <c r="O33" s="766">
        <v>0</v>
      </c>
      <c r="P33" s="79">
        <f t="shared" si="7"/>
        <v>1</v>
      </c>
    </row>
    <row r="34" spans="1:43" ht="15">
      <c r="A34" s="598"/>
      <c r="B34" s="309" t="s">
        <v>544</v>
      </c>
      <c r="C34" s="73">
        <f t="shared" si="4"/>
        <v>1</v>
      </c>
      <c r="D34" s="73">
        <v>2.335</v>
      </c>
      <c r="E34" s="73">
        <v>2.6</v>
      </c>
      <c r="F34" s="79">
        <f t="shared" si="5"/>
        <v>6.0709999999999997</v>
      </c>
      <c r="G34" s="79">
        <f t="shared" si="6"/>
        <v>6.0709999999999997</v>
      </c>
      <c r="H34" s="102">
        <v>1</v>
      </c>
      <c r="I34" s="75">
        <v>0</v>
      </c>
      <c r="J34" s="75">
        <v>0</v>
      </c>
      <c r="K34" s="75">
        <v>0</v>
      </c>
      <c r="L34" s="75">
        <v>0</v>
      </c>
      <c r="M34" s="75">
        <v>0</v>
      </c>
      <c r="N34" s="75">
        <v>0</v>
      </c>
      <c r="O34" s="766">
        <v>0</v>
      </c>
      <c r="P34" s="79">
        <f t="shared" si="7"/>
        <v>1</v>
      </c>
    </row>
    <row r="35" spans="1:43" ht="15.75" thickBot="1">
      <c r="B35" s="309"/>
      <c r="C35" s="73"/>
      <c r="D35" s="73"/>
      <c r="E35" s="73"/>
      <c r="F35" s="79"/>
      <c r="G35" s="79"/>
      <c r="N35" s="280"/>
      <c r="O35" s="316"/>
      <c r="P35" s="79"/>
    </row>
    <row r="36" spans="1:43" ht="15.75" thickBot="1">
      <c r="A36" s="65"/>
      <c r="B36" s="955" t="s">
        <v>545</v>
      </c>
      <c r="C36" s="956"/>
      <c r="D36" s="956"/>
      <c r="E36" s="956"/>
      <c r="F36" s="957"/>
      <c r="G36" s="77">
        <f>SUM(G22:G27)</f>
        <v>12.6</v>
      </c>
      <c r="H36" s="293"/>
      <c r="I36" s="208"/>
      <c r="J36" s="208"/>
      <c r="K36" s="312"/>
      <c r="L36" s="312"/>
      <c r="M36" s="312"/>
      <c r="N36" s="312"/>
      <c r="O36" s="317"/>
      <c r="P36" s="77"/>
    </row>
    <row r="37" spans="1:43" ht="15">
      <c r="H37" s="102"/>
      <c r="I37" s="102"/>
      <c r="J37" s="102"/>
    </row>
    <row r="38" spans="1:43" ht="15">
      <c r="H38" s="102"/>
      <c r="I38" s="102"/>
      <c r="J38" s="102"/>
    </row>
    <row r="39" spans="1:43" ht="15.75" thickBot="1">
      <c r="A39" s="59" t="s">
        <v>546</v>
      </c>
    </row>
    <row r="40" spans="1:43" s="56" customFormat="1" ht="15.75" thickBot="1">
      <c r="A40" s="286" t="s">
        <v>547</v>
      </c>
      <c r="B40" s="287">
        <f>D47-H59+J59</f>
        <v>208.24275000000003</v>
      </c>
      <c r="C40" s="282" t="s">
        <v>84</v>
      </c>
      <c r="D40" s="275"/>
      <c r="E40" s="127"/>
      <c r="F40" s="127"/>
      <c r="G40" s="276"/>
      <c r="H40" s="127"/>
      <c r="I40" s="127"/>
      <c r="J40" s="277"/>
    </row>
    <row r="41" spans="1:43" ht="13.5" thickBot="1"/>
    <row r="42" spans="1:43" ht="15.75" thickBot="1">
      <c r="A42" s="283" t="s">
        <v>382</v>
      </c>
      <c r="B42" s="284" t="s">
        <v>383</v>
      </c>
      <c r="C42" s="284" t="s">
        <v>385</v>
      </c>
      <c r="D42" s="285" t="s">
        <v>408</v>
      </c>
      <c r="J42" s="102"/>
    </row>
    <row r="43" spans="1:43" ht="15">
      <c r="A43" s="61"/>
      <c r="B43" s="82"/>
      <c r="C43" s="82"/>
      <c r="D43" s="82"/>
      <c r="J43" s="102"/>
    </row>
    <row r="44" spans="1:43" ht="15">
      <c r="A44" s="67" t="s">
        <v>548</v>
      </c>
      <c r="B44" s="78">
        <f>M50</f>
        <v>39.335000000000001</v>
      </c>
      <c r="C44" s="78">
        <v>4.1500000000000004</v>
      </c>
      <c r="D44" s="79">
        <f>C44*B44</f>
        <v>163.24025000000003</v>
      </c>
      <c r="E44" s="75" t="s">
        <v>549</v>
      </c>
      <c r="J44" s="102"/>
    </row>
    <row r="45" spans="1:43" ht="15">
      <c r="A45" s="67" t="s">
        <v>550</v>
      </c>
      <c r="B45" s="78">
        <f>M51</f>
        <v>24.259999999999998</v>
      </c>
      <c r="C45" s="78">
        <v>2</v>
      </c>
      <c r="D45" s="79">
        <f>C45*B45</f>
        <v>48.519999999999996</v>
      </c>
      <c r="J45" s="102"/>
    </row>
    <row r="46" spans="1:43" s="56" customFormat="1" ht="15.75" thickBot="1">
      <c r="A46" s="67"/>
      <c r="B46" s="78"/>
      <c r="C46" s="78"/>
      <c r="D46" s="79"/>
      <c r="E46" s="8"/>
      <c r="F46" s="8"/>
      <c r="G46" s="8"/>
      <c r="H46" s="8"/>
      <c r="I46" s="8"/>
      <c r="J46" s="127"/>
      <c r="K46" s="127"/>
      <c r="L46" s="127"/>
      <c r="M46" s="127"/>
      <c r="N46" s="127"/>
      <c r="O46" s="127"/>
      <c r="P46" s="127"/>
      <c r="Q46" s="127"/>
      <c r="R46" s="127"/>
      <c r="S46" s="127"/>
      <c r="T46" s="127"/>
      <c r="U46" s="127"/>
      <c r="V46" s="127"/>
      <c r="W46" s="127"/>
      <c r="X46" s="127"/>
      <c r="Y46" s="127"/>
      <c r="Z46" s="127"/>
      <c r="AA46" s="127"/>
      <c r="AB46" s="127"/>
      <c r="AC46" s="127"/>
      <c r="AD46" s="127"/>
      <c r="AE46" s="127"/>
      <c r="AF46" s="127"/>
      <c r="AG46" s="276"/>
      <c r="AH46" s="127"/>
      <c r="AI46" s="127"/>
      <c r="AJ46" s="127"/>
      <c r="AK46" s="127"/>
      <c r="AL46" s="127"/>
      <c r="AM46" s="127"/>
      <c r="AN46" s="127"/>
      <c r="AO46" s="127"/>
      <c r="AP46" s="127"/>
      <c r="AQ46" s="276"/>
    </row>
    <row r="47" spans="1:43" ht="15.75" thickBot="1">
      <c r="A47" s="958" t="s">
        <v>393</v>
      </c>
      <c r="B47" s="959"/>
      <c r="C47" s="960"/>
      <c r="D47" s="77">
        <f>SUM(D43:D46)</f>
        <v>211.76025000000004</v>
      </c>
    </row>
    <row r="49" spans="1:43" ht="15.75" thickBot="1">
      <c r="A49" s="59" t="s">
        <v>551</v>
      </c>
    </row>
    <row r="50" spans="1:43" ht="15.75" thickBot="1">
      <c r="A50" s="764" t="str">
        <f>A44</f>
        <v>Outer Wall - Full</v>
      </c>
      <c r="B50" s="765">
        <v>30.673999999999999</v>
      </c>
      <c r="C50" s="765">
        <v>8.6609999999999996</v>
      </c>
      <c r="D50" s="765">
        <v>0</v>
      </c>
      <c r="E50" s="765">
        <v>0</v>
      </c>
      <c r="F50" s="765">
        <v>0</v>
      </c>
      <c r="G50" s="765">
        <v>0</v>
      </c>
      <c r="H50" s="765">
        <v>0</v>
      </c>
      <c r="I50" s="765">
        <v>0</v>
      </c>
      <c r="J50" s="765">
        <v>0</v>
      </c>
      <c r="K50" s="765">
        <v>0</v>
      </c>
      <c r="L50" s="765">
        <v>0</v>
      </c>
      <c r="M50" s="282">
        <f>SUM(B50:L50)</f>
        <v>39.335000000000001</v>
      </c>
    </row>
    <row r="51" spans="1:43" ht="15.75" thickBot="1">
      <c r="A51" s="764" t="str">
        <f>A45</f>
        <v>Outer wal - 1.2M HT</v>
      </c>
      <c r="B51" s="765">
        <v>2.145</v>
      </c>
      <c r="C51" s="765">
        <v>2.145</v>
      </c>
      <c r="D51" s="765">
        <v>0.5</v>
      </c>
      <c r="E51" s="765">
        <v>0.5</v>
      </c>
      <c r="F51" s="765">
        <v>1.7749999999999999</v>
      </c>
      <c r="G51" s="765">
        <v>1.7749999999999999</v>
      </c>
      <c r="H51" s="765">
        <v>0.5</v>
      </c>
      <c r="I51" s="765">
        <f>2*(7.46)</f>
        <v>14.92</v>
      </c>
      <c r="J51" s="765">
        <v>0</v>
      </c>
      <c r="K51" s="765">
        <v>0</v>
      </c>
      <c r="L51" s="765">
        <v>0</v>
      </c>
      <c r="M51" s="282">
        <f>SUM(B51:L51)</f>
        <v>24.259999999999998</v>
      </c>
    </row>
    <row r="53" spans="1:43" ht="15.75" thickBot="1">
      <c r="A53" s="59" t="s">
        <v>552</v>
      </c>
    </row>
    <row r="54" spans="1:43" ht="15.75" customHeight="1" thickBot="1">
      <c r="A54" s="288" t="s">
        <v>382</v>
      </c>
      <c r="B54" s="289" t="s">
        <v>82</v>
      </c>
      <c r="C54" s="289" t="s">
        <v>291</v>
      </c>
      <c r="D54" s="289" t="s">
        <v>383</v>
      </c>
      <c r="E54" s="289" t="s">
        <v>384</v>
      </c>
      <c r="F54" s="289" t="s">
        <v>409</v>
      </c>
      <c r="G54" s="290" t="s">
        <v>532</v>
      </c>
      <c r="H54" s="291" t="s">
        <v>553</v>
      </c>
      <c r="I54" s="291" t="s">
        <v>554</v>
      </c>
      <c r="J54" s="292" t="s">
        <v>555</v>
      </c>
    </row>
    <row r="55" spans="1:43">
      <c r="A55" s="61"/>
      <c r="B55" s="61"/>
      <c r="C55" s="61"/>
      <c r="D55" s="61"/>
      <c r="E55" s="61"/>
      <c r="F55" s="294"/>
      <c r="G55" s="295"/>
      <c r="H55" s="63"/>
      <c r="I55" s="63"/>
      <c r="J55" s="63"/>
    </row>
    <row r="56" spans="1:43" ht="15">
      <c r="A56" s="62" t="s">
        <v>534</v>
      </c>
      <c r="B56" s="72" t="str">
        <f>B23</f>
        <v>W04</v>
      </c>
      <c r="C56" s="72">
        <f t="shared" ref="C56:E56" si="8">C23</f>
        <v>1</v>
      </c>
      <c r="D56" s="72">
        <f t="shared" si="8"/>
        <v>0.9</v>
      </c>
      <c r="E56" s="72">
        <f t="shared" si="8"/>
        <v>1.5</v>
      </c>
      <c r="F56" s="93">
        <f>E56*D56</f>
        <v>1.35</v>
      </c>
      <c r="G56" s="93">
        <f>F56*C56</f>
        <v>1.35</v>
      </c>
      <c r="H56" s="78">
        <f>G56</f>
        <v>1.35</v>
      </c>
      <c r="I56" s="78">
        <f>G56</f>
        <v>1.35</v>
      </c>
      <c r="J56" s="78">
        <f>(D56+E56+D56+E56)*C56*0.15</f>
        <v>0.72</v>
      </c>
    </row>
    <row r="57" spans="1:43" s="56" customFormat="1" ht="15">
      <c r="A57" s="63"/>
      <c r="B57" s="72" t="str">
        <f t="shared" ref="B57:E58" si="9">B24</f>
        <v>W02</v>
      </c>
      <c r="C57" s="72">
        <f t="shared" si="9"/>
        <v>1</v>
      </c>
      <c r="D57" s="72">
        <f t="shared" si="9"/>
        <v>1.8</v>
      </c>
      <c r="E57" s="72">
        <f t="shared" si="9"/>
        <v>1.5</v>
      </c>
      <c r="F57" s="93">
        <f t="shared" ref="F57:F58" si="10">E57*D57</f>
        <v>2.7</v>
      </c>
      <c r="G57" s="93">
        <f t="shared" ref="G57:G58" si="11">F57*C57</f>
        <v>2.7</v>
      </c>
      <c r="H57" s="78">
        <f t="shared" ref="H57:H58" si="12">G57</f>
        <v>2.7</v>
      </c>
      <c r="I57" s="78">
        <f t="shared" ref="I57:I58" si="13">G57</f>
        <v>2.7</v>
      </c>
      <c r="J57" s="78">
        <f t="shared" ref="J57:J58" si="14">(D57+E57+D57+E57)*C57*0.15</f>
        <v>0.98999999999999988</v>
      </c>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276"/>
      <c r="AH57" s="127"/>
      <c r="AI57" s="127"/>
      <c r="AJ57" s="127"/>
      <c r="AK57" s="127"/>
      <c r="AL57" s="127"/>
      <c r="AM57" s="127"/>
      <c r="AN57" s="127"/>
      <c r="AO57" s="127"/>
      <c r="AP57" s="127"/>
      <c r="AQ57" s="276"/>
    </row>
    <row r="58" spans="1:43" s="56" customFormat="1" ht="15.75" thickBot="1">
      <c r="A58" s="63"/>
      <c r="B58" s="72" t="str">
        <f t="shared" si="9"/>
        <v>D02</v>
      </c>
      <c r="C58" s="72">
        <f t="shared" si="9"/>
        <v>1</v>
      </c>
      <c r="D58" s="72">
        <f t="shared" si="9"/>
        <v>0.95</v>
      </c>
      <c r="E58" s="72">
        <f t="shared" si="9"/>
        <v>2.25</v>
      </c>
      <c r="F58" s="93">
        <f t="shared" si="10"/>
        <v>2.1374999999999997</v>
      </c>
      <c r="G58" s="93">
        <f t="shared" si="11"/>
        <v>2.1374999999999997</v>
      </c>
      <c r="H58" s="78">
        <f t="shared" si="12"/>
        <v>2.1374999999999997</v>
      </c>
      <c r="I58" s="78">
        <f t="shared" si="13"/>
        <v>2.1374999999999997</v>
      </c>
      <c r="J58" s="78">
        <f t="shared" si="14"/>
        <v>0.96</v>
      </c>
      <c r="K58" s="127"/>
      <c r="L58" s="127"/>
      <c r="M58" s="127"/>
      <c r="N58" s="127"/>
      <c r="O58" s="127"/>
      <c r="P58" s="127"/>
      <c r="Q58" s="127"/>
      <c r="R58" s="127"/>
      <c r="S58" s="127"/>
      <c r="T58" s="127"/>
      <c r="U58" s="127"/>
      <c r="V58" s="127"/>
      <c r="W58" s="127"/>
      <c r="X58" s="127"/>
      <c r="Y58" s="127"/>
      <c r="Z58" s="127"/>
      <c r="AA58" s="127"/>
      <c r="AB58" s="127"/>
      <c r="AC58" s="127"/>
      <c r="AD58" s="127"/>
      <c r="AE58" s="127"/>
      <c r="AF58" s="127"/>
      <c r="AG58" s="276"/>
      <c r="AH58" s="127"/>
      <c r="AI58" s="127"/>
      <c r="AJ58" s="127"/>
      <c r="AK58" s="127"/>
      <c r="AL58" s="127"/>
      <c r="AM58" s="127"/>
      <c r="AN58" s="127"/>
      <c r="AO58" s="127"/>
      <c r="AP58" s="127"/>
      <c r="AQ58" s="276"/>
    </row>
    <row r="59" spans="1:43" ht="15.75" thickBot="1">
      <c r="A59" s="65"/>
      <c r="B59" s="955" t="s">
        <v>545</v>
      </c>
      <c r="C59" s="956"/>
      <c r="D59" s="956"/>
      <c r="E59" s="956"/>
      <c r="F59" s="957"/>
      <c r="G59" s="293">
        <f>SUM(G55:G58)</f>
        <v>6.1875</v>
      </c>
      <c r="H59" s="293">
        <f>SUM(H55:H58)</f>
        <v>6.1875</v>
      </c>
      <c r="I59" s="293">
        <f>SUM(I55:I58)</f>
        <v>6.1875</v>
      </c>
      <c r="J59" s="77">
        <f>SUM(J55:J58)</f>
        <v>2.67</v>
      </c>
      <c r="K59" s="75"/>
      <c r="L59" s="75"/>
    </row>
    <row r="60" spans="1:43" ht="15">
      <c r="A60" s="63"/>
      <c r="B60" s="72"/>
      <c r="C60" s="73"/>
      <c r="D60" s="73"/>
      <c r="E60" s="73"/>
      <c r="F60" s="93"/>
      <c r="G60" s="296"/>
      <c r="H60" s="78"/>
      <c r="I60" s="78"/>
      <c r="J60" s="78"/>
    </row>
    <row r="61" spans="1:43" s="56" customFormat="1" ht="15">
      <c r="A61" s="62" t="s">
        <v>538</v>
      </c>
      <c r="B61" s="72" t="str">
        <f>B27</f>
        <v>D03</v>
      </c>
      <c r="C61" s="72">
        <f t="shared" ref="C61:E61" si="15">C27</f>
        <v>3</v>
      </c>
      <c r="D61" s="72">
        <f t="shared" si="15"/>
        <v>0.95</v>
      </c>
      <c r="E61" s="72">
        <f t="shared" si="15"/>
        <v>2.25</v>
      </c>
      <c r="F61" s="93">
        <f t="shared" ref="F61:F68" si="16">E61*D61</f>
        <v>2.1374999999999997</v>
      </c>
      <c r="G61" s="93">
        <f t="shared" ref="G61:G68" si="17">F61*C61</f>
        <v>6.4124999999999996</v>
      </c>
      <c r="H61" s="78">
        <f>G61</f>
        <v>6.4124999999999996</v>
      </c>
      <c r="I61" s="78">
        <f>G61</f>
        <v>6.4124999999999996</v>
      </c>
      <c r="J61" s="78">
        <f>(D61+E61+D61+E61)*C61*0.15</f>
        <v>2.8800000000000003</v>
      </c>
      <c r="K61" s="277"/>
      <c r="L61" s="277"/>
    </row>
    <row r="62" spans="1:43" s="56" customFormat="1" ht="15">
      <c r="A62" s="62"/>
      <c r="B62" s="72" t="str">
        <f t="shared" ref="B62:E68" si="18">B28</f>
        <v>W02</v>
      </c>
      <c r="C62" s="72">
        <f t="shared" si="18"/>
        <v>1</v>
      </c>
      <c r="D62" s="72">
        <f t="shared" si="18"/>
        <v>1.8</v>
      </c>
      <c r="E62" s="72">
        <f t="shared" si="18"/>
        <v>1.5</v>
      </c>
      <c r="F62" s="93">
        <f t="shared" si="16"/>
        <v>2.7</v>
      </c>
      <c r="G62" s="93">
        <f t="shared" si="17"/>
        <v>2.7</v>
      </c>
      <c r="H62" s="78">
        <f t="shared" ref="H62:H68" si="19">G62</f>
        <v>2.7</v>
      </c>
      <c r="I62" s="78">
        <f t="shared" ref="I62:I68" si="20">G62</f>
        <v>2.7</v>
      </c>
      <c r="J62" s="78">
        <f t="shared" ref="J62:J68" si="21">(D62+E62+D62+E62)*C62*0.15</f>
        <v>0.98999999999999988</v>
      </c>
      <c r="K62" s="277"/>
      <c r="L62" s="277"/>
    </row>
    <row r="63" spans="1:43" s="56" customFormat="1" ht="15">
      <c r="A63" s="62"/>
      <c r="B63" s="72" t="str">
        <f t="shared" si="18"/>
        <v>W04</v>
      </c>
      <c r="C63" s="72">
        <f t="shared" si="18"/>
        <v>1</v>
      </c>
      <c r="D63" s="72">
        <f t="shared" si="18"/>
        <v>0.9</v>
      </c>
      <c r="E63" s="72">
        <f t="shared" si="18"/>
        <v>1.5</v>
      </c>
      <c r="F63" s="93">
        <f t="shared" si="16"/>
        <v>1.35</v>
      </c>
      <c r="G63" s="93">
        <f t="shared" si="17"/>
        <v>1.35</v>
      </c>
      <c r="H63" s="78">
        <f t="shared" si="19"/>
        <v>1.35</v>
      </c>
      <c r="I63" s="78">
        <f t="shared" si="20"/>
        <v>1.35</v>
      </c>
      <c r="J63" s="78">
        <f t="shared" si="21"/>
        <v>0.72</v>
      </c>
      <c r="K63" s="277"/>
      <c r="L63" s="277"/>
    </row>
    <row r="64" spans="1:43" s="56" customFormat="1" ht="15">
      <c r="A64" s="62"/>
      <c r="B64" s="72" t="str">
        <f t="shared" si="18"/>
        <v>W01</v>
      </c>
      <c r="C64" s="72">
        <f t="shared" si="18"/>
        <v>1</v>
      </c>
      <c r="D64" s="72">
        <f t="shared" si="18"/>
        <v>1.5169999999999999</v>
      </c>
      <c r="E64" s="72">
        <f t="shared" si="18"/>
        <v>1.5</v>
      </c>
      <c r="F64" s="93">
        <f t="shared" si="16"/>
        <v>2.2755000000000001</v>
      </c>
      <c r="G64" s="93">
        <f t="shared" si="17"/>
        <v>2.2755000000000001</v>
      </c>
      <c r="H64" s="78">
        <f t="shared" si="19"/>
        <v>2.2755000000000001</v>
      </c>
      <c r="I64" s="78">
        <f t="shared" si="20"/>
        <v>2.2755000000000001</v>
      </c>
      <c r="J64" s="78">
        <f t="shared" si="21"/>
        <v>0.9050999999999999</v>
      </c>
      <c r="K64" s="277"/>
      <c r="L64" s="277"/>
    </row>
    <row r="65" spans="1:43" s="56" customFormat="1" ht="15">
      <c r="A65" s="62"/>
      <c r="B65" s="72" t="str">
        <f t="shared" si="18"/>
        <v>D01</v>
      </c>
      <c r="C65" s="72">
        <f t="shared" si="18"/>
        <v>1</v>
      </c>
      <c r="D65" s="72">
        <f t="shared" si="18"/>
        <v>1.7</v>
      </c>
      <c r="E65" s="72">
        <f t="shared" si="18"/>
        <v>2.4500000000000002</v>
      </c>
      <c r="F65" s="93">
        <f t="shared" si="16"/>
        <v>4.165</v>
      </c>
      <c r="G65" s="93">
        <f t="shared" si="17"/>
        <v>4.165</v>
      </c>
      <c r="H65" s="78">
        <f t="shared" si="19"/>
        <v>4.165</v>
      </c>
      <c r="I65" s="78">
        <f t="shared" si="20"/>
        <v>4.165</v>
      </c>
      <c r="J65" s="78">
        <f t="shared" si="21"/>
        <v>1.2450000000000001</v>
      </c>
      <c r="K65" s="277"/>
      <c r="L65" s="277"/>
    </row>
    <row r="66" spans="1:43" s="56" customFormat="1" ht="15">
      <c r="A66" s="62"/>
      <c r="B66" s="72" t="str">
        <f t="shared" si="18"/>
        <v>PD01</v>
      </c>
      <c r="C66" s="72">
        <f t="shared" si="18"/>
        <v>1</v>
      </c>
      <c r="D66" s="72">
        <f t="shared" si="18"/>
        <v>2.4500000000000002</v>
      </c>
      <c r="E66" s="72">
        <f t="shared" si="18"/>
        <v>2.25</v>
      </c>
      <c r="F66" s="93">
        <f t="shared" si="16"/>
        <v>5.5125000000000002</v>
      </c>
      <c r="G66" s="93">
        <f t="shared" si="17"/>
        <v>5.5125000000000002</v>
      </c>
      <c r="H66" s="78">
        <f t="shared" si="19"/>
        <v>5.5125000000000002</v>
      </c>
      <c r="I66" s="78">
        <f t="shared" si="20"/>
        <v>5.5125000000000002</v>
      </c>
      <c r="J66" s="78">
        <f t="shared" si="21"/>
        <v>1.41</v>
      </c>
      <c r="K66" s="277"/>
      <c r="L66" s="277"/>
    </row>
    <row r="67" spans="1:43" s="56" customFormat="1" ht="15">
      <c r="A67" s="62"/>
      <c r="B67" s="72" t="str">
        <f t="shared" si="18"/>
        <v>SD01</v>
      </c>
      <c r="C67" s="72">
        <f t="shared" si="18"/>
        <v>1</v>
      </c>
      <c r="D67" s="72">
        <f t="shared" si="18"/>
        <v>2.15</v>
      </c>
      <c r="E67" s="72">
        <f t="shared" si="18"/>
        <v>2.6</v>
      </c>
      <c r="F67" s="93">
        <f t="shared" si="16"/>
        <v>5.59</v>
      </c>
      <c r="G67" s="93">
        <f t="shared" si="17"/>
        <v>5.59</v>
      </c>
      <c r="H67" s="78">
        <f t="shared" si="19"/>
        <v>5.59</v>
      </c>
      <c r="I67" s="78">
        <f t="shared" si="20"/>
        <v>5.59</v>
      </c>
      <c r="J67" s="78">
        <f t="shared" si="21"/>
        <v>1.425</v>
      </c>
      <c r="K67" s="277"/>
      <c r="L67" s="277"/>
    </row>
    <row r="68" spans="1:43" s="56" customFormat="1" ht="15">
      <c r="A68" s="62"/>
      <c r="B68" s="72" t="str">
        <f t="shared" si="18"/>
        <v>SD02</v>
      </c>
      <c r="C68" s="72">
        <f t="shared" si="18"/>
        <v>1</v>
      </c>
      <c r="D68" s="72">
        <f t="shared" si="18"/>
        <v>2.335</v>
      </c>
      <c r="E68" s="72">
        <f t="shared" si="18"/>
        <v>2.6</v>
      </c>
      <c r="F68" s="93">
        <f t="shared" si="16"/>
        <v>6.0709999999999997</v>
      </c>
      <c r="G68" s="93">
        <f t="shared" si="17"/>
        <v>6.0709999999999997</v>
      </c>
      <c r="H68" s="78">
        <f t="shared" si="19"/>
        <v>6.0709999999999997</v>
      </c>
      <c r="I68" s="78">
        <f t="shared" si="20"/>
        <v>6.0709999999999997</v>
      </c>
      <c r="J68" s="78">
        <f t="shared" si="21"/>
        <v>1.4805000000000001</v>
      </c>
      <c r="K68" s="277"/>
      <c r="L68" s="277"/>
    </row>
    <row r="69" spans="1:43" ht="15.75" thickBot="1">
      <c r="A69" s="63"/>
      <c r="B69" s="72"/>
      <c r="C69" s="73"/>
      <c r="D69" s="73"/>
      <c r="E69" s="73"/>
      <c r="F69" s="93"/>
      <c r="G69" s="296"/>
      <c r="H69" s="78"/>
      <c r="I69" s="78"/>
      <c r="J69" s="78"/>
      <c r="K69" s="75"/>
      <c r="L69" s="75"/>
    </row>
    <row r="70" spans="1:43" ht="15.75" thickBot="1">
      <c r="A70" s="65"/>
      <c r="B70" s="955" t="s">
        <v>545</v>
      </c>
      <c r="C70" s="956"/>
      <c r="D70" s="956"/>
      <c r="E70" s="956"/>
      <c r="F70" s="957"/>
      <c r="G70" s="293">
        <f>SUM(G60:G69)</f>
        <v>34.076499999999996</v>
      </c>
      <c r="H70" s="293">
        <f>SUM(H60:H69)</f>
        <v>34.076499999999996</v>
      </c>
      <c r="I70" s="293">
        <f>SUM(I60:I69)</f>
        <v>34.076499999999996</v>
      </c>
      <c r="J70" s="77">
        <f>SUM(J60:J69)</f>
        <v>11.055600000000002</v>
      </c>
      <c r="K70" s="75"/>
      <c r="L70" s="75"/>
    </row>
    <row r="71" spans="1:43">
      <c r="J71" s="75"/>
      <c r="K71" s="75"/>
      <c r="L71" s="75"/>
    </row>
    <row r="72" spans="1:43" ht="15.75" thickBot="1">
      <c r="A72" s="59" t="s">
        <v>556</v>
      </c>
      <c r="J72" s="75"/>
      <c r="K72" s="75"/>
      <c r="L72" s="75"/>
    </row>
    <row r="73" spans="1:43" ht="15.75" thickBot="1">
      <c r="A73" s="286" t="s">
        <v>557</v>
      </c>
      <c r="B73" s="297">
        <f>D79-I59-H70-I70+J70</f>
        <v>252.44687999999999</v>
      </c>
      <c r="C73" s="282" t="s">
        <v>84</v>
      </c>
      <c r="D73" s="127"/>
      <c r="E73" s="127"/>
      <c r="F73" s="127"/>
      <c r="G73" s="276"/>
      <c r="H73" s="127"/>
      <c r="I73" s="127"/>
      <c r="J73" s="75"/>
      <c r="K73" s="75"/>
      <c r="L73" s="75"/>
    </row>
    <row r="74" spans="1:43" ht="13.5" thickBot="1">
      <c r="J74" s="75"/>
      <c r="K74" s="75"/>
      <c r="L74" s="75"/>
    </row>
    <row r="75" spans="1:43" ht="13.5" thickBot="1">
      <c r="A75" s="283" t="s">
        <v>382</v>
      </c>
      <c r="B75" s="284" t="s">
        <v>383</v>
      </c>
      <c r="C75" s="284" t="s">
        <v>385</v>
      </c>
      <c r="D75" s="285" t="s">
        <v>408</v>
      </c>
      <c r="J75" s="75"/>
      <c r="K75" s="75"/>
      <c r="L75" s="75"/>
    </row>
    <row r="76" spans="1:43">
      <c r="A76" s="61"/>
      <c r="B76" s="82"/>
      <c r="C76" s="82"/>
      <c r="D76" s="82"/>
      <c r="J76" s="75"/>
      <c r="K76" s="75"/>
    </row>
    <row r="77" spans="1:43" ht="15">
      <c r="A77" s="67" t="s">
        <v>558</v>
      </c>
      <c r="B77" s="78">
        <f>P82</f>
        <v>103.012</v>
      </c>
      <c r="C77" s="78">
        <v>3.0649999999999999</v>
      </c>
      <c r="D77" s="79">
        <f>C77*B77</f>
        <v>315.73178000000001</v>
      </c>
      <c r="J77" s="102"/>
    </row>
    <row r="78" spans="1:43" ht="13.5" thickBot="1">
      <c r="A78" s="65"/>
      <c r="B78" s="80"/>
      <c r="C78" s="80"/>
      <c r="D78" s="80"/>
    </row>
    <row r="79" spans="1:43" s="56" customFormat="1" ht="15.75" thickBot="1">
      <c r="A79" s="958" t="s">
        <v>393</v>
      </c>
      <c r="B79" s="959"/>
      <c r="C79" s="960"/>
      <c r="D79" s="77">
        <f>SUM(D75:D78)</f>
        <v>315.73178000000001</v>
      </c>
      <c r="E79" s="8"/>
      <c r="F79" s="8"/>
      <c r="G79" s="8"/>
      <c r="H79" s="8"/>
      <c r="I79" s="8"/>
      <c r="J79" s="127"/>
      <c r="K79" s="127"/>
      <c r="L79" s="127"/>
      <c r="M79" s="127"/>
      <c r="N79" s="127"/>
      <c r="O79" s="127"/>
      <c r="P79" s="127"/>
      <c r="Q79" s="127"/>
      <c r="R79" s="127"/>
      <c r="S79" s="127"/>
      <c r="T79" s="127"/>
      <c r="U79" s="127"/>
      <c r="V79" s="127"/>
      <c r="W79" s="127"/>
      <c r="X79" s="127"/>
      <c r="Y79" s="127"/>
      <c r="Z79" s="127"/>
      <c r="AA79" s="127"/>
      <c r="AB79" s="127"/>
      <c r="AC79" s="127"/>
      <c r="AD79" s="127"/>
      <c r="AE79" s="127"/>
      <c r="AF79" s="127"/>
      <c r="AG79" s="276"/>
      <c r="AH79" s="127"/>
      <c r="AI79" s="127"/>
      <c r="AJ79" s="127"/>
      <c r="AK79" s="127"/>
      <c r="AL79" s="127"/>
      <c r="AM79" s="127"/>
      <c r="AN79" s="127"/>
      <c r="AO79" s="127"/>
      <c r="AP79" s="127"/>
      <c r="AQ79" s="276"/>
    </row>
    <row r="81" spans="1:25" ht="15.75" thickBot="1">
      <c r="A81" s="59" t="s">
        <v>551</v>
      </c>
    </row>
    <row r="82" spans="1:25" ht="15.75" thickBot="1">
      <c r="A82" s="764" t="str">
        <f>A77</f>
        <v>Internal Wall</v>
      </c>
      <c r="B82" s="765">
        <v>15.455</v>
      </c>
      <c r="C82" s="765">
        <v>16.149999999999999</v>
      </c>
      <c r="D82" s="765">
        <v>23.6</v>
      </c>
      <c r="E82" s="765">
        <v>16.414999999999999</v>
      </c>
      <c r="F82" s="765">
        <v>6.202</v>
      </c>
      <c r="G82" s="765">
        <v>9.6839999999999993</v>
      </c>
      <c r="H82" s="765">
        <v>9.84</v>
      </c>
      <c r="I82" s="765">
        <v>5.6660000000000004</v>
      </c>
      <c r="J82" s="765">
        <v>0</v>
      </c>
      <c r="K82" s="765">
        <v>0</v>
      </c>
      <c r="L82" s="765">
        <v>0</v>
      </c>
      <c r="M82" s="765">
        <v>0</v>
      </c>
      <c r="N82" s="765">
        <v>0</v>
      </c>
      <c r="O82" s="765">
        <v>0</v>
      </c>
      <c r="P82" s="77">
        <f>SUM(B82:O82)</f>
        <v>103.012</v>
      </c>
    </row>
    <row r="83" spans="1:25" ht="15">
      <c r="J83" s="102"/>
    </row>
    <row r="84" spans="1:25" ht="15.75" thickBot="1">
      <c r="A84" s="59" t="s">
        <v>559</v>
      </c>
      <c r="J84" s="102"/>
      <c r="K84" s="75"/>
    </row>
    <row r="85" spans="1:25" ht="15.75" thickBot="1">
      <c r="A85" s="764" t="s">
        <v>560</v>
      </c>
      <c r="B85" s="767">
        <f>Y89</f>
        <v>121.785</v>
      </c>
      <c r="C85" s="599" t="s">
        <v>84</v>
      </c>
      <c r="D85" s="275"/>
      <c r="E85" s="127"/>
      <c r="F85" s="127"/>
      <c r="G85" s="276"/>
      <c r="H85" s="127"/>
      <c r="I85" s="127"/>
      <c r="J85" s="102"/>
    </row>
    <row r="86" spans="1:25" ht="15.75" thickBot="1">
      <c r="A86" s="764" t="s">
        <v>561</v>
      </c>
      <c r="B86" s="767">
        <f>Y90</f>
        <v>11</v>
      </c>
      <c r="C86" s="599" t="s">
        <v>84</v>
      </c>
      <c r="D86" s="275"/>
      <c r="E86" s="127"/>
      <c r="F86" s="127"/>
      <c r="G86" s="276"/>
      <c r="H86" s="127"/>
      <c r="I86" s="127"/>
      <c r="J86" s="102"/>
    </row>
    <row r="87" spans="1:25" ht="15">
      <c r="J87" s="102"/>
    </row>
    <row r="88" spans="1:25" ht="15.75" thickBot="1">
      <c r="A88" s="59" t="s">
        <v>562</v>
      </c>
      <c r="J88" s="102"/>
    </row>
    <row r="89" spans="1:25" ht="15.75" thickBot="1">
      <c r="A89" s="764" t="s">
        <v>562</v>
      </c>
      <c r="B89" s="765">
        <v>17.350000000000001</v>
      </c>
      <c r="C89" s="765">
        <v>16.11</v>
      </c>
      <c r="D89" s="765">
        <v>25.8</v>
      </c>
      <c r="E89" s="765">
        <v>3.58</v>
      </c>
      <c r="F89" s="765">
        <v>16.829999999999998</v>
      </c>
      <c r="G89" s="91">
        <v>9.3000000000000007</v>
      </c>
      <c r="H89" s="765">
        <v>2.1930000000000001</v>
      </c>
      <c r="I89" s="765">
        <v>28.5</v>
      </c>
      <c r="J89" s="91">
        <v>2.1219999999999999</v>
      </c>
      <c r="K89" s="765">
        <v>0</v>
      </c>
      <c r="L89" s="765">
        <v>0</v>
      </c>
      <c r="M89" s="91">
        <v>0</v>
      </c>
      <c r="N89" s="765">
        <v>0</v>
      </c>
      <c r="O89" s="765">
        <v>0</v>
      </c>
      <c r="P89" s="91">
        <v>0</v>
      </c>
      <c r="Q89" s="765">
        <v>0</v>
      </c>
      <c r="R89" s="765">
        <v>0</v>
      </c>
      <c r="S89" s="91">
        <v>0</v>
      </c>
      <c r="T89" s="765">
        <v>0</v>
      </c>
      <c r="U89" s="765">
        <v>0</v>
      </c>
      <c r="V89" s="91">
        <v>0</v>
      </c>
      <c r="W89" s="765">
        <v>0</v>
      </c>
      <c r="X89" s="765">
        <v>0</v>
      </c>
      <c r="Y89" s="77">
        <f>SUM(B89:X89)</f>
        <v>121.785</v>
      </c>
    </row>
    <row r="90" spans="1:25" ht="15.75" thickBot="1">
      <c r="A90" s="764" t="str">
        <f>A86</f>
        <v>Stair screeding</v>
      </c>
      <c r="B90" s="765">
        <v>5.5</v>
      </c>
      <c r="C90" s="765">
        <v>5.5</v>
      </c>
      <c r="D90" s="765">
        <v>0</v>
      </c>
      <c r="E90" s="765">
        <v>0</v>
      </c>
      <c r="F90" s="765">
        <v>0</v>
      </c>
      <c r="G90" s="91">
        <v>0</v>
      </c>
      <c r="H90" s="765">
        <v>0</v>
      </c>
      <c r="I90" s="765">
        <v>0</v>
      </c>
      <c r="J90" s="91">
        <v>0</v>
      </c>
      <c r="K90" s="765">
        <v>0</v>
      </c>
      <c r="L90" s="765">
        <v>0</v>
      </c>
      <c r="M90" s="91">
        <v>0</v>
      </c>
      <c r="N90" s="765">
        <v>0</v>
      </c>
      <c r="O90" s="765">
        <v>0</v>
      </c>
      <c r="P90" s="91">
        <v>0</v>
      </c>
      <c r="Q90" s="765">
        <v>0</v>
      </c>
      <c r="R90" s="765">
        <v>0</v>
      </c>
      <c r="S90" s="91">
        <v>0</v>
      </c>
      <c r="T90" s="765">
        <v>0</v>
      </c>
      <c r="U90" s="765">
        <v>0</v>
      </c>
      <c r="V90" s="91">
        <v>0</v>
      </c>
      <c r="W90" s="765">
        <v>0</v>
      </c>
      <c r="X90" s="765">
        <v>0</v>
      </c>
      <c r="Y90" s="77">
        <f>SUM(B90:X90)</f>
        <v>11</v>
      </c>
    </row>
    <row r="92" spans="1:25" ht="15.75" thickBot="1">
      <c r="A92" s="59" t="s">
        <v>563</v>
      </c>
    </row>
    <row r="93" spans="1:25" ht="15.75" thickBot="1">
      <c r="A93" s="326" t="s">
        <v>564</v>
      </c>
      <c r="B93" s="297">
        <f>B40</f>
        <v>208.24275000000003</v>
      </c>
      <c r="C93" s="599" t="s">
        <v>84</v>
      </c>
    </row>
    <row r="94" spans="1:25" ht="15.75" thickBot="1">
      <c r="A94" s="326" t="s">
        <v>565</v>
      </c>
      <c r="B94" s="297">
        <f>B73</f>
        <v>252.44687999999999</v>
      </c>
      <c r="C94" s="599" t="s">
        <v>84</v>
      </c>
    </row>
    <row r="95" spans="1:25" ht="15.75" thickBot="1">
      <c r="A95" s="326" t="s">
        <v>566</v>
      </c>
      <c r="B95" s="297">
        <f>Y98</f>
        <v>121.87</v>
      </c>
      <c r="C95" s="599" t="s">
        <v>84</v>
      </c>
    </row>
    <row r="97" spans="1:43" ht="15.75" thickBot="1">
      <c r="A97" s="59" t="s">
        <v>566</v>
      </c>
      <c r="J97" s="102"/>
    </row>
    <row r="98" spans="1:43" ht="15.75" thickBot="1">
      <c r="A98" s="764" t="str">
        <f>A95</f>
        <v>Ceiling Paiting</v>
      </c>
      <c r="B98" s="765">
        <v>17.399999999999999</v>
      </c>
      <c r="C98" s="765">
        <v>16.11</v>
      </c>
      <c r="D98" s="765">
        <v>25.8</v>
      </c>
      <c r="E98" s="765">
        <v>3.59</v>
      </c>
      <c r="F98" s="765">
        <v>16.829999999999998</v>
      </c>
      <c r="G98" s="91">
        <v>9.3000000000000007</v>
      </c>
      <c r="H98" s="765">
        <v>2.2000000000000002</v>
      </c>
      <c r="I98" s="765">
        <v>28.52</v>
      </c>
      <c r="J98" s="91">
        <v>2.12</v>
      </c>
      <c r="K98" s="765">
        <v>0</v>
      </c>
      <c r="L98" s="765">
        <v>0</v>
      </c>
      <c r="M98" s="91">
        <v>0</v>
      </c>
      <c r="N98" s="765">
        <v>0</v>
      </c>
      <c r="O98" s="765">
        <v>0</v>
      </c>
      <c r="P98" s="91">
        <v>0</v>
      </c>
      <c r="Q98" s="765">
        <v>0</v>
      </c>
      <c r="R98" s="765">
        <v>0</v>
      </c>
      <c r="S98" s="91">
        <v>0</v>
      </c>
      <c r="T98" s="765">
        <v>0</v>
      </c>
      <c r="U98" s="765">
        <v>0</v>
      </c>
      <c r="V98" s="91">
        <v>0</v>
      </c>
      <c r="W98" s="765">
        <v>0</v>
      </c>
      <c r="X98" s="765">
        <v>0</v>
      </c>
      <c r="Y98" s="77">
        <f>SUM(B98:X98)</f>
        <v>121.87</v>
      </c>
    </row>
    <row r="100" spans="1:43" ht="15.75" thickBot="1">
      <c r="A100" s="59" t="s">
        <v>567</v>
      </c>
    </row>
    <row r="101" spans="1:43" ht="13.5" thickBot="1">
      <c r="A101" s="298" t="s">
        <v>568</v>
      </c>
      <c r="B101" s="90">
        <f>F106</f>
        <v>110.392</v>
      </c>
      <c r="C101" s="600" t="s">
        <v>84</v>
      </c>
    </row>
    <row r="102" spans="1:43" s="56" customFormat="1" ht="15.75" thickBot="1">
      <c r="A102" s="299" t="s">
        <v>382</v>
      </c>
      <c r="B102" s="300" t="s">
        <v>569</v>
      </c>
      <c r="C102" s="300" t="s">
        <v>409</v>
      </c>
      <c r="D102" s="300" t="s">
        <v>570</v>
      </c>
      <c r="E102" s="300" t="s">
        <v>571</v>
      </c>
      <c r="F102" s="301" t="s">
        <v>572</v>
      </c>
      <c r="G102" s="10"/>
      <c r="H102" s="8"/>
      <c r="I102" s="8"/>
      <c r="J102" s="127"/>
      <c r="K102" s="127"/>
      <c r="L102" s="127"/>
      <c r="M102" s="127"/>
      <c r="N102" s="127"/>
      <c r="O102" s="127"/>
      <c r="P102" s="127"/>
      <c r="Q102" s="127"/>
      <c r="R102" s="127"/>
      <c r="S102" s="127"/>
      <c r="T102" s="127"/>
      <c r="U102" s="127"/>
      <c r="V102" s="127"/>
      <c r="W102" s="127"/>
      <c r="X102" s="127"/>
      <c r="Y102" s="127"/>
      <c r="Z102" s="127"/>
      <c r="AA102" s="127"/>
      <c r="AB102" s="127"/>
      <c r="AC102" s="127"/>
      <c r="AD102" s="127"/>
      <c r="AE102" s="127"/>
      <c r="AF102" s="127"/>
      <c r="AG102" s="276"/>
      <c r="AH102" s="127"/>
      <c r="AI102" s="127"/>
      <c r="AJ102" s="127"/>
      <c r="AK102" s="127"/>
      <c r="AL102" s="127"/>
      <c r="AM102" s="127"/>
      <c r="AN102" s="127"/>
      <c r="AO102" s="127"/>
      <c r="AP102" s="127"/>
      <c r="AQ102" s="276"/>
    </row>
    <row r="103" spans="1:43">
      <c r="A103" s="61"/>
      <c r="B103" s="61"/>
      <c r="C103" s="61"/>
      <c r="D103" s="61"/>
      <c r="E103" s="61"/>
      <c r="F103" s="61"/>
    </row>
    <row r="104" spans="1:43" ht="15">
      <c r="A104" s="68" t="s">
        <v>573</v>
      </c>
      <c r="B104" s="64" t="s">
        <v>574</v>
      </c>
      <c r="C104" s="78">
        <f>Q109</f>
        <v>110.392</v>
      </c>
      <c r="D104" s="78">
        <f>Q110</f>
        <v>0</v>
      </c>
      <c r="E104" s="78">
        <f>0.1*D104</f>
        <v>0</v>
      </c>
      <c r="F104" s="79">
        <f>E104+C104</f>
        <v>110.392</v>
      </c>
      <c r="G104" s="60"/>
    </row>
    <row r="105" spans="1:43" s="56" customFormat="1" ht="15.75" thickBot="1">
      <c r="A105" s="68"/>
      <c r="B105" s="64"/>
      <c r="C105" s="78"/>
      <c r="D105" s="78"/>
      <c r="E105" s="78"/>
      <c r="F105" s="79"/>
      <c r="G105" s="60"/>
      <c r="H105" s="8"/>
      <c r="I105" s="8"/>
      <c r="J105" s="127"/>
      <c r="K105" s="127"/>
      <c r="L105" s="127"/>
      <c r="M105" s="127"/>
      <c r="N105" s="127"/>
      <c r="O105" s="127"/>
      <c r="P105" s="127"/>
      <c r="Q105" s="127"/>
      <c r="R105" s="127"/>
      <c r="S105" s="127"/>
      <c r="T105" s="127"/>
      <c r="U105" s="127"/>
      <c r="V105" s="127"/>
      <c r="W105" s="127"/>
      <c r="X105" s="127"/>
      <c r="Y105" s="127"/>
      <c r="Z105" s="127"/>
      <c r="AA105" s="127"/>
      <c r="AB105" s="127"/>
      <c r="AC105" s="127"/>
      <c r="AD105" s="127"/>
      <c r="AE105" s="127"/>
      <c r="AF105" s="127"/>
      <c r="AG105" s="276"/>
      <c r="AH105" s="127"/>
      <c r="AI105" s="127"/>
      <c r="AJ105" s="127"/>
      <c r="AK105" s="127"/>
      <c r="AL105" s="127"/>
      <c r="AM105" s="127"/>
      <c r="AN105" s="127"/>
      <c r="AO105" s="127"/>
      <c r="AP105" s="127"/>
      <c r="AQ105" s="276"/>
    </row>
    <row r="106" spans="1:43" ht="13.5" thickBot="1">
      <c r="A106" s="964" t="s">
        <v>393</v>
      </c>
      <c r="B106" s="965"/>
      <c r="C106" s="965"/>
      <c r="D106" s="965"/>
      <c r="E106" s="966"/>
      <c r="F106" s="111">
        <f>SUM(F104:F105)</f>
        <v>110.392</v>
      </c>
    </row>
    <row r="108" spans="1:43" ht="15.75" thickBot="1">
      <c r="A108" s="59" t="s">
        <v>575</v>
      </c>
    </row>
    <row r="109" spans="1:43" ht="15">
      <c r="A109" s="764" t="s">
        <v>576</v>
      </c>
      <c r="B109" s="765">
        <v>17.350000000000001</v>
      </c>
      <c r="C109" s="765">
        <v>16.11</v>
      </c>
      <c r="D109" s="765">
        <v>25.8</v>
      </c>
      <c r="E109" s="765">
        <v>3.589</v>
      </c>
      <c r="F109" s="765">
        <v>16.829999999999998</v>
      </c>
      <c r="G109" s="765">
        <v>2.1930000000000001</v>
      </c>
      <c r="H109" s="765">
        <v>28.52</v>
      </c>
      <c r="I109" s="765">
        <v>0</v>
      </c>
      <c r="J109" s="765">
        <v>0</v>
      </c>
      <c r="K109" s="765">
        <v>0</v>
      </c>
      <c r="L109" s="765">
        <v>0</v>
      </c>
      <c r="M109" s="765">
        <v>0</v>
      </c>
      <c r="N109" s="765">
        <v>0</v>
      </c>
      <c r="O109" s="765">
        <v>0</v>
      </c>
      <c r="P109" s="765">
        <v>0</v>
      </c>
      <c r="Q109" s="302">
        <f>SUM(B109:P109)</f>
        <v>110.392</v>
      </c>
    </row>
    <row r="110" spans="1:43" ht="15.75" thickBot="1">
      <c r="A110" s="764" t="s">
        <v>570</v>
      </c>
      <c r="B110" s="765">
        <v>0</v>
      </c>
      <c r="C110" s="765">
        <v>0</v>
      </c>
      <c r="D110" s="765">
        <v>0</v>
      </c>
      <c r="E110" s="765">
        <v>0</v>
      </c>
      <c r="F110" s="765">
        <v>0</v>
      </c>
      <c r="G110" s="765">
        <v>0</v>
      </c>
      <c r="H110" s="765">
        <v>0</v>
      </c>
      <c r="I110" s="765">
        <v>0</v>
      </c>
      <c r="J110" s="765">
        <v>0</v>
      </c>
      <c r="K110" s="765">
        <v>0</v>
      </c>
      <c r="L110" s="765">
        <v>0</v>
      </c>
      <c r="M110" s="765">
        <v>0</v>
      </c>
      <c r="N110" s="765">
        <v>0</v>
      </c>
      <c r="O110" s="765">
        <v>0</v>
      </c>
      <c r="P110" s="765">
        <v>0</v>
      </c>
      <c r="Q110" s="303">
        <f>SUM(B110:P110)</f>
        <v>0</v>
      </c>
    </row>
    <row r="111" spans="1:43" ht="13.5" thickBot="1"/>
    <row r="112" spans="1:43" ht="13.5" thickBot="1">
      <c r="A112" s="298" t="s">
        <v>577</v>
      </c>
      <c r="B112" s="90">
        <f>D117</f>
        <v>11.420000000000002</v>
      </c>
      <c r="C112" s="83" t="s">
        <v>84</v>
      </c>
    </row>
    <row r="113" spans="1:43" ht="13.5" thickBot="1">
      <c r="A113" s="283" t="s">
        <v>382</v>
      </c>
      <c r="B113" s="284" t="s">
        <v>569</v>
      </c>
      <c r="C113" s="284" t="s">
        <v>409</v>
      </c>
      <c r="D113" s="285" t="s">
        <v>572</v>
      </c>
      <c r="E113" s="10"/>
    </row>
    <row r="114" spans="1:43" ht="15">
      <c r="A114" s="84" t="s">
        <v>578</v>
      </c>
      <c r="B114" s="66" t="s">
        <v>579</v>
      </c>
      <c r="C114" s="82">
        <f>K120</f>
        <v>11.420000000000002</v>
      </c>
      <c r="D114" s="88">
        <f>C114</f>
        <v>11.420000000000002</v>
      </c>
      <c r="E114" s="60"/>
    </row>
    <row r="115" spans="1:43" ht="15">
      <c r="A115" s="68"/>
      <c r="B115" s="85"/>
      <c r="C115" s="78"/>
      <c r="D115" s="79"/>
      <c r="E115" s="60"/>
    </row>
    <row r="116" spans="1:43" ht="15.75" thickBot="1">
      <c r="A116" s="68"/>
      <c r="B116" s="85"/>
      <c r="C116" s="78"/>
      <c r="D116" s="79"/>
      <c r="E116" s="60"/>
    </row>
    <row r="117" spans="1:43" ht="13.5" thickBot="1">
      <c r="A117" s="967" t="s">
        <v>393</v>
      </c>
      <c r="B117" s="959"/>
      <c r="C117" s="960"/>
      <c r="D117" s="111">
        <f>SUM(D114:D116)</f>
        <v>11.420000000000002</v>
      </c>
    </row>
    <row r="118" spans="1:43" s="56" customFormat="1" ht="15">
      <c r="A118" s="8"/>
      <c r="B118" s="8"/>
      <c r="C118" s="8"/>
      <c r="D118" s="8"/>
      <c r="E118" s="8"/>
      <c r="F118" s="8"/>
      <c r="G118" s="8"/>
      <c r="H118" s="8"/>
      <c r="I118" s="8"/>
      <c r="AH118" s="127"/>
      <c r="AI118" s="127"/>
      <c r="AJ118" s="127"/>
      <c r="AK118" s="127"/>
      <c r="AL118" s="127"/>
      <c r="AM118" s="127"/>
      <c r="AN118" s="127"/>
      <c r="AO118" s="127"/>
      <c r="AP118" s="127"/>
      <c r="AQ118" s="276"/>
    </row>
    <row r="119" spans="1:43" ht="15.75" thickBot="1">
      <c r="A119" s="59" t="s">
        <v>575</v>
      </c>
    </row>
    <row r="120" spans="1:43" ht="15.75" thickBot="1">
      <c r="A120" s="764" t="s">
        <v>576</v>
      </c>
      <c r="B120" s="765">
        <v>9.3000000000000007</v>
      </c>
      <c r="C120" s="765">
        <v>2.12</v>
      </c>
      <c r="D120" s="765">
        <v>0</v>
      </c>
      <c r="E120" s="765">
        <v>0</v>
      </c>
      <c r="F120" s="765">
        <v>0</v>
      </c>
      <c r="G120" s="765">
        <v>0</v>
      </c>
      <c r="H120" s="765">
        <v>0</v>
      </c>
      <c r="I120" s="765">
        <v>0</v>
      </c>
      <c r="J120" s="765">
        <v>0</v>
      </c>
      <c r="K120" s="282">
        <f>SUM(B120:J120)</f>
        <v>11.420000000000002</v>
      </c>
      <c r="L120" s="278"/>
      <c r="M120" s="127"/>
      <c r="N120" s="127"/>
      <c r="O120" s="127"/>
      <c r="P120" s="127"/>
      <c r="Q120" s="127"/>
      <c r="R120" s="127"/>
      <c r="S120" s="127"/>
      <c r="T120" s="127"/>
      <c r="U120" s="127"/>
      <c r="V120" s="127"/>
      <c r="W120" s="127"/>
      <c r="X120" s="127"/>
      <c r="Y120" s="127"/>
      <c r="Z120" s="127"/>
      <c r="AA120" s="127"/>
      <c r="AB120" s="127"/>
      <c r="AC120" s="127"/>
      <c r="AD120" s="127"/>
      <c r="AE120" s="127"/>
      <c r="AF120" s="127"/>
    </row>
    <row r="122" spans="1:43" ht="13.5" thickBot="1"/>
    <row r="123" spans="1:43" ht="13.5" thickBot="1">
      <c r="A123" s="304" t="s">
        <v>580</v>
      </c>
      <c r="B123" s="86">
        <f>E129</f>
        <v>22.610000000000007</v>
      </c>
      <c r="C123" s="87" t="s">
        <v>84</v>
      </c>
    </row>
    <row r="124" spans="1:43" ht="13.5" thickBot="1">
      <c r="A124" s="283" t="s">
        <v>382</v>
      </c>
      <c r="B124" s="284" t="s">
        <v>569</v>
      </c>
      <c r="C124" s="305" t="s">
        <v>383</v>
      </c>
      <c r="D124" s="305" t="s">
        <v>385</v>
      </c>
      <c r="E124" s="285" t="s">
        <v>572</v>
      </c>
    </row>
    <row r="125" spans="1:43" ht="15">
      <c r="A125" s="84" t="s">
        <v>581</v>
      </c>
      <c r="B125" s="66" t="s">
        <v>582</v>
      </c>
      <c r="C125" s="82">
        <f>K132</f>
        <v>11.420000000000002</v>
      </c>
      <c r="D125" s="88">
        <v>2.5</v>
      </c>
      <c r="E125" s="88">
        <f>D125*C125</f>
        <v>28.550000000000004</v>
      </c>
    </row>
    <row r="126" spans="1:43" ht="15">
      <c r="A126" s="68"/>
      <c r="B126" s="85"/>
      <c r="C126" s="78"/>
      <c r="D126" s="79"/>
      <c r="E126" s="79"/>
    </row>
    <row r="127" spans="1:43" s="56" customFormat="1" ht="15">
      <c r="A127" s="279" t="s">
        <v>583</v>
      </c>
      <c r="B127" s="85"/>
      <c r="C127" s="78">
        <v>0</v>
      </c>
      <c r="D127" s="79">
        <v>0</v>
      </c>
      <c r="E127" s="79">
        <f>K133</f>
        <v>5.9399999999999995</v>
      </c>
      <c r="F127" s="8"/>
      <c r="G127" s="8"/>
      <c r="H127" s="8"/>
      <c r="I127" s="8"/>
      <c r="AH127" s="127"/>
      <c r="AI127" s="127"/>
      <c r="AJ127" s="127"/>
      <c r="AK127" s="127"/>
      <c r="AL127" s="127"/>
      <c r="AM127" s="127"/>
      <c r="AN127" s="127"/>
      <c r="AO127" s="127"/>
      <c r="AP127" s="127"/>
      <c r="AQ127" s="276"/>
    </row>
    <row r="128" spans="1:43" ht="15.75" thickBot="1">
      <c r="A128" s="68"/>
      <c r="B128" s="85"/>
      <c r="C128" s="78"/>
      <c r="D128" s="79"/>
      <c r="E128" s="79"/>
    </row>
    <row r="129" spans="1:32" ht="13.5" thickBot="1">
      <c r="A129" s="967" t="s">
        <v>393</v>
      </c>
      <c r="B129" s="959"/>
      <c r="C129" s="959"/>
      <c r="D129" s="960"/>
      <c r="E129" s="111">
        <f>E125-E127</f>
        <v>22.610000000000007</v>
      </c>
    </row>
    <row r="131" spans="1:32" ht="15.75" thickBot="1">
      <c r="A131" s="59" t="s">
        <v>584</v>
      </c>
    </row>
    <row r="132" spans="1:32" ht="15.75" thickBot="1">
      <c r="A132" s="764" t="s">
        <v>383</v>
      </c>
      <c r="B132" s="765">
        <v>9.3000000000000007</v>
      </c>
      <c r="C132" s="765">
        <v>2.12</v>
      </c>
      <c r="D132" s="765">
        <v>0</v>
      </c>
      <c r="E132" s="765">
        <v>0</v>
      </c>
      <c r="F132" s="765">
        <v>0</v>
      </c>
      <c r="G132" s="765">
        <v>0</v>
      </c>
      <c r="H132" s="765">
        <v>0</v>
      </c>
      <c r="I132" s="765">
        <v>0</v>
      </c>
      <c r="J132" s="765">
        <v>0</v>
      </c>
      <c r="K132" s="282">
        <f>SUM(B132:J132)</f>
        <v>11.420000000000002</v>
      </c>
      <c r="L132" s="278"/>
      <c r="M132" s="127"/>
      <c r="N132" s="127"/>
      <c r="O132" s="127"/>
      <c r="P132" s="127"/>
      <c r="Q132" s="127"/>
      <c r="R132" s="127"/>
      <c r="S132" s="127"/>
      <c r="T132" s="127"/>
      <c r="U132" s="127"/>
      <c r="V132" s="127"/>
      <c r="W132" s="127"/>
      <c r="X132" s="127"/>
      <c r="Y132" s="127"/>
      <c r="Z132" s="127"/>
      <c r="AA132" s="127"/>
      <c r="AB132" s="127"/>
      <c r="AC132" s="127"/>
      <c r="AD132" s="127"/>
      <c r="AE132" s="127"/>
      <c r="AF132" s="127"/>
    </row>
    <row r="133" spans="1:32" ht="15.75" thickBot="1">
      <c r="A133" s="764" t="s">
        <v>447</v>
      </c>
      <c r="B133" s="768">
        <v>4.68</v>
      </c>
      <c r="C133" s="768">
        <v>1.26</v>
      </c>
      <c r="D133" s="768">
        <v>0</v>
      </c>
      <c r="E133" s="768">
        <v>0</v>
      </c>
      <c r="F133" s="768">
        <v>0</v>
      </c>
      <c r="G133" s="768">
        <v>0</v>
      </c>
      <c r="H133" s="768">
        <v>0</v>
      </c>
      <c r="I133" s="768">
        <v>0</v>
      </c>
      <c r="J133" s="765">
        <v>0</v>
      </c>
      <c r="K133" s="282">
        <f>SUM(B133:J133)</f>
        <v>5.9399999999999995</v>
      </c>
      <c r="L133" s="278"/>
      <c r="M133" s="127"/>
      <c r="N133" s="127"/>
      <c r="O133" s="127"/>
      <c r="P133" s="127"/>
      <c r="Q133" s="127"/>
      <c r="R133" s="127"/>
      <c r="S133" s="127"/>
      <c r="T133" s="127"/>
      <c r="U133" s="127"/>
      <c r="V133" s="127"/>
      <c r="W133" s="127"/>
      <c r="X133" s="127"/>
      <c r="Y133" s="127"/>
      <c r="Z133" s="127"/>
      <c r="AA133" s="127"/>
      <c r="AB133" s="127"/>
      <c r="AC133" s="127"/>
      <c r="AD133" s="127"/>
      <c r="AE133" s="127"/>
      <c r="AF133" s="127"/>
    </row>
    <row r="135" spans="1:32" ht="13.5" thickBot="1"/>
    <row r="136" spans="1:32" ht="13.5" thickBot="1">
      <c r="A136" s="304" t="s">
        <v>585</v>
      </c>
      <c r="B136" s="325">
        <f>E142</f>
        <v>9.8604000000000003</v>
      </c>
      <c r="C136" s="87" t="s">
        <v>84</v>
      </c>
    </row>
    <row r="137" spans="1:32" ht="13.5" thickBot="1">
      <c r="A137" s="283" t="s">
        <v>382</v>
      </c>
      <c r="B137" s="305" t="s">
        <v>291</v>
      </c>
      <c r="C137" s="305" t="s">
        <v>383</v>
      </c>
      <c r="D137" s="305" t="s">
        <v>385</v>
      </c>
      <c r="E137" s="285" t="s">
        <v>572</v>
      </c>
    </row>
    <row r="138" spans="1:32" ht="15">
      <c r="A138" s="84" t="s">
        <v>586</v>
      </c>
      <c r="B138" s="66">
        <v>1</v>
      </c>
      <c r="C138" s="82">
        <v>2.75</v>
      </c>
      <c r="D138" s="601">
        <v>2</v>
      </c>
      <c r="E138" s="88">
        <f>B138*C138*D138</f>
        <v>5.5</v>
      </c>
    </row>
    <row r="139" spans="1:32" ht="15">
      <c r="A139" s="68" t="s">
        <v>587</v>
      </c>
      <c r="B139" s="85">
        <v>20</v>
      </c>
      <c r="C139" s="78">
        <v>0.98799999999999999</v>
      </c>
      <c r="D139" s="602">
        <v>0.16500000000000001</v>
      </c>
      <c r="E139" s="79">
        <f>D139*C139*B139</f>
        <v>3.2603999999999997</v>
      </c>
    </row>
    <row r="140" spans="1:32" ht="15">
      <c r="A140" s="68" t="s">
        <v>588</v>
      </c>
      <c r="B140" s="85">
        <v>1</v>
      </c>
      <c r="C140" s="78">
        <f>K145</f>
        <v>11</v>
      </c>
      <c r="D140" s="602">
        <v>0.1</v>
      </c>
      <c r="E140" s="79">
        <f>D140*C140*B140</f>
        <v>1.1000000000000001</v>
      </c>
    </row>
    <row r="141" spans="1:32" ht="15.75" thickBot="1">
      <c r="A141" s="68"/>
      <c r="B141" s="85"/>
      <c r="C141" s="78"/>
      <c r="D141" s="79"/>
      <c r="E141" s="79"/>
    </row>
    <row r="142" spans="1:32" ht="13.5" thickBot="1">
      <c r="A142" s="967" t="s">
        <v>393</v>
      </c>
      <c r="B142" s="959"/>
      <c r="C142" s="959"/>
      <c r="D142" s="960"/>
      <c r="E142" s="111">
        <f>SUM(E138:E141)</f>
        <v>9.8604000000000003</v>
      </c>
    </row>
    <row r="144" spans="1:32" ht="15.75" thickBot="1">
      <c r="A144" s="59" t="s">
        <v>113</v>
      </c>
    </row>
    <row r="145" spans="1:43" ht="15.75" thickBot="1">
      <c r="A145" s="769" t="s">
        <v>588</v>
      </c>
      <c r="B145" s="765">
        <v>4.2</v>
      </c>
      <c r="C145" s="765">
        <v>4.2</v>
      </c>
      <c r="D145" s="765">
        <v>2.6</v>
      </c>
      <c r="E145" s="765">
        <v>0</v>
      </c>
      <c r="F145" s="765">
        <v>0</v>
      </c>
      <c r="G145" s="765">
        <v>0</v>
      </c>
      <c r="H145" s="765">
        <v>0</v>
      </c>
      <c r="I145" s="765">
        <v>0</v>
      </c>
      <c r="J145" s="765">
        <v>0</v>
      </c>
      <c r="K145" s="282">
        <f>SUM(B145:J145)</f>
        <v>11</v>
      </c>
      <c r="L145" s="278"/>
      <c r="M145" s="127"/>
      <c r="N145" s="127"/>
      <c r="O145" s="127"/>
      <c r="P145" s="127"/>
      <c r="Q145" s="127"/>
      <c r="R145" s="127"/>
      <c r="S145" s="127"/>
      <c r="T145" s="127"/>
      <c r="U145" s="127"/>
      <c r="V145" s="127"/>
      <c r="W145" s="127"/>
      <c r="X145" s="127"/>
      <c r="Y145" s="127"/>
      <c r="Z145" s="127"/>
      <c r="AA145" s="127"/>
      <c r="AB145" s="127"/>
      <c r="AC145" s="127"/>
      <c r="AD145" s="127"/>
      <c r="AE145" s="127"/>
      <c r="AF145" s="127"/>
    </row>
    <row r="146" spans="1:43" ht="13.5" thickBot="1"/>
    <row r="147" spans="1:43" ht="13.5" thickBot="1">
      <c r="A147" s="304" t="s">
        <v>589</v>
      </c>
      <c r="B147" s="325">
        <v>4.2</v>
      </c>
      <c r="C147" s="87" t="s">
        <v>84</v>
      </c>
    </row>
    <row r="148" spans="1:43" ht="13.5" thickBot="1">
      <c r="A148" s="283" t="s">
        <v>382</v>
      </c>
      <c r="B148" s="305" t="s">
        <v>291</v>
      </c>
      <c r="C148" s="305" t="s">
        <v>383</v>
      </c>
      <c r="D148" s="305" t="s">
        <v>385</v>
      </c>
      <c r="E148" s="285" t="s">
        <v>572</v>
      </c>
    </row>
    <row r="149" spans="1:43" ht="15">
      <c r="A149" s="84" t="s">
        <v>590</v>
      </c>
      <c r="B149" s="66">
        <v>0</v>
      </c>
      <c r="C149" s="82">
        <v>0</v>
      </c>
      <c r="D149" s="88">
        <v>0</v>
      </c>
      <c r="E149" s="79">
        <f>D149*C149*B149</f>
        <v>0</v>
      </c>
    </row>
    <row r="150" spans="1:43" ht="15">
      <c r="A150" s="68" t="s">
        <v>591</v>
      </c>
      <c r="B150" s="85">
        <v>0</v>
      </c>
      <c r="C150" s="78">
        <v>0</v>
      </c>
      <c r="D150" s="79">
        <v>0</v>
      </c>
      <c r="E150" s="79">
        <f>D150*C150*B150</f>
        <v>0</v>
      </c>
    </row>
    <row r="151" spans="1:43" ht="15">
      <c r="A151" s="68" t="s">
        <v>592</v>
      </c>
      <c r="B151" s="85">
        <v>0</v>
      </c>
      <c r="C151" s="78">
        <v>0</v>
      </c>
      <c r="D151" s="79">
        <v>0</v>
      </c>
      <c r="E151" s="79">
        <f>D151*C151*B151</f>
        <v>0</v>
      </c>
    </row>
    <row r="152" spans="1:43" ht="15.75" thickBot="1">
      <c r="A152" s="68"/>
      <c r="B152" s="85">
        <v>0</v>
      </c>
      <c r="C152" s="78"/>
      <c r="D152" s="79"/>
      <c r="E152" s="79"/>
    </row>
    <row r="153" spans="1:43" ht="13.5" thickBot="1">
      <c r="A153" s="967" t="s">
        <v>393</v>
      </c>
      <c r="B153" s="959"/>
      <c r="C153" s="959"/>
      <c r="D153" s="960"/>
      <c r="E153" s="111">
        <f>SUM(E149:E152)</f>
        <v>0</v>
      </c>
    </row>
    <row r="156" spans="1:43" s="56" customFormat="1" ht="15.75" thickBot="1">
      <c r="A156" s="59" t="s">
        <v>593</v>
      </c>
      <c r="B156" s="8"/>
      <c r="C156" s="8"/>
      <c r="D156" s="8"/>
      <c r="E156" s="8"/>
      <c r="F156" s="8"/>
      <c r="G156" s="8"/>
      <c r="H156" s="8"/>
      <c r="I156" s="8"/>
      <c r="J156" s="127"/>
      <c r="K156" s="127"/>
      <c r="L156" s="127"/>
      <c r="M156" s="127"/>
      <c r="N156" s="127"/>
      <c r="O156" s="127"/>
      <c r="P156" s="127"/>
      <c r="Q156" s="127"/>
      <c r="R156" s="127"/>
      <c r="S156" s="127"/>
      <c r="T156" s="127"/>
      <c r="U156" s="127"/>
      <c r="V156" s="127"/>
      <c r="W156" s="127"/>
      <c r="X156" s="127"/>
      <c r="Y156" s="127"/>
      <c r="Z156" s="127"/>
      <c r="AA156" s="127"/>
      <c r="AB156" s="127"/>
      <c r="AC156" s="127"/>
      <c r="AD156" s="127"/>
      <c r="AE156" s="127"/>
      <c r="AF156" s="276"/>
      <c r="AG156" s="127"/>
      <c r="AH156" s="127"/>
      <c r="AI156" s="127"/>
      <c r="AJ156" s="127"/>
      <c r="AK156" s="127"/>
      <c r="AL156" s="127"/>
      <c r="AM156" s="127"/>
      <c r="AN156" s="127"/>
      <c r="AO156" s="127"/>
      <c r="AP156" s="127"/>
      <c r="AQ156" s="276"/>
    </row>
    <row r="157" spans="1:43" s="56" customFormat="1" ht="15.75" thickBot="1">
      <c r="A157" s="764" t="s">
        <v>594</v>
      </c>
      <c r="B157" s="767">
        <f>K160</f>
        <v>11.420000000000002</v>
      </c>
      <c r="C157" s="282" t="s">
        <v>84</v>
      </c>
      <c r="D157" s="275" t="s">
        <v>595</v>
      </c>
      <c r="E157" s="127"/>
      <c r="F157" s="127"/>
      <c r="G157" s="276"/>
      <c r="H157" s="127"/>
      <c r="I157" s="127"/>
      <c r="J157" s="281"/>
      <c r="K157" s="281"/>
      <c r="L157" s="281"/>
      <c r="M157" s="281"/>
      <c r="N157" s="281"/>
      <c r="O157" s="281"/>
      <c r="P157" s="281"/>
      <c r="Q157" s="281"/>
      <c r="R157" s="281"/>
      <c r="S157" s="281"/>
      <c r="T157" s="281"/>
      <c r="U157" s="281"/>
      <c r="V157" s="281"/>
      <c r="W157" s="281"/>
      <c r="X157" s="281"/>
      <c r="Y157" s="281"/>
      <c r="Z157" s="281"/>
      <c r="AA157" s="281"/>
      <c r="AB157" s="281"/>
      <c r="AC157" s="281"/>
      <c r="AD157" s="281"/>
      <c r="AE157" s="281"/>
      <c r="AF157" s="276"/>
      <c r="AG157" s="127"/>
      <c r="AH157" s="127"/>
      <c r="AI157" s="127"/>
      <c r="AJ157" s="127"/>
      <c r="AK157" s="127"/>
      <c r="AL157" s="127"/>
      <c r="AM157" s="127"/>
      <c r="AN157" s="127"/>
      <c r="AO157" s="127"/>
      <c r="AP157" s="127"/>
      <c r="AQ157" s="276"/>
    </row>
    <row r="158" spans="1:43" s="56" customFormat="1" ht="15">
      <c r="A158" s="8"/>
      <c r="B158" s="8"/>
      <c r="C158" s="8"/>
      <c r="D158" s="8"/>
      <c r="E158" s="8"/>
      <c r="F158" s="8"/>
      <c r="G158" s="8"/>
      <c r="H158" s="8"/>
      <c r="I158" s="8"/>
      <c r="J158" s="127"/>
      <c r="K158" s="127"/>
      <c r="L158" s="127"/>
      <c r="M158" s="127"/>
      <c r="N158" s="127"/>
      <c r="O158" s="127"/>
      <c r="P158" s="127"/>
      <c r="Q158" s="127"/>
      <c r="R158" s="127"/>
      <c r="S158" s="127"/>
      <c r="T158" s="127"/>
      <c r="U158" s="127"/>
      <c r="V158" s="127"/>
      <c r="W158" s="127"/>
      <c r="X158" s="127"/>
      <c r="Y158" s="127"/>
      <c r="Z158" s="127"/>
      <c r="AA158" s="127"/>
      <c r="AB158" s="127"/>
      <c r="AC158" s="127"/>
      <c r="AD158" s="127"/>
      <c r="AE158" s="127"/>
      <c r="AF158" s="276"/>
      <c r="AG158" s="127"/>
      <c r="AH158" s="127"/>
      <c r="AI158" s="127"/>
      <c r="AJ158" s="127"/>
      <c r="AK158" s="127"/>
      <c r="AL158" s="127"/>
      <c r="AM158" s="127"/>
      <c r="AN158" s="127"/>
      <c r="AO158" s="127"/>
      <c r="AP158" s="127"/>
      <c r="AQ158" s="276"/>
    </row>
    <row r="159" spans="1:43" ht="15.75" thickBot="1">
      <c r="A159" s="59" t="s">
        <v>409</v>
      </c>
    </row>
    <row r="160" spans="1:43" ht="15.75" thickBot="1">
      <c r="A160" s="764" t="str">
        <f>A157</f>
        <v>Gypsum ceiling</v>
      </c>
      <c r="B160" s="765">
        <v>9.3000000000000007</v>
      </c>
      <c r="C160" s="765">
        <v>2.12</v>
      </c>
      <c r="D160" s="765">
        <v>0</v>
      </c>
      <c r="E160" s="765">
        <v>0</v>
      </c>
      <c r="F160" s="765">
        <v>0</v>
      </c>
      <c r="G160" s="91">
        <v>0</v>
      </c>
      <c r="H160" s="765">
        <v>0</v>
      </c>
      <c r="I160" s="765">
        <v>0</v>
      </c>
      <c r="J160" s="765">
        <v>0</v>
      </c>
      <c r="K160" s="282">
        <f>SUM(B160:J160)</f>
        <v>11.420000000000002</v>
      </c>
      <c r="L160" s="306"/>
      <c r="Y160" s="102"/>
    </row>
    <row r="162" spans="1:43" ht="13.5" thickBot="1"/>
    <row r="163" spans="1:43" ht="13.5" thickBot="1">
      <c r="A163" s="304" t="s">
        <v>596</v>
      </c>
      <c r="B163" s="86"/>
      <c r="C163" s="87"/>
    </row>
    <row r="164" spans="1:43" ht="13.5" thickBot="1">
      <c r="A164" s="283" t="s">
        <v>382</v>
      </c>
      <c r="B164" s="284" t="s">
        <v>597</v>
      </c>
      <c r="C164" s="305" t="s">
        <v>598</v>
      </c>
      <c r="D164" s="305"/>
      <c r="E164" s="305"/>
      <c r="F164" s="308" t="s">
        <v>572</v>
      </c>
      <c r="G164" s="18"/>
      <c r="H164" s="18"/>
      <c r="I164" s="18"/>
      <c r="J164" s="18"/>
    </row>
    <row r="165" spans="1:43" s="56" customFormat="1" ht="15">
      <c r="A165" s="84"/>
      <c r="B165" s="66"/>
      <c r="C165" s="82"/>
      <c r="D165" s="82"/>
      <c r="E165" s="82"/>
      <c r="F165" s="82"/>
      <c r="G165" s="75"/>
      <c r="H165" s="75"/>
      <c r="I165" s="75"/>
      <c r="J165" s="75"/>
      <c r="K165" s="127"/>
      <c r="L165" s="127"/>
      <c r="M165" s="127"/>
      <c r="N165" s="127"/>
      <c r="O165" s="127"/>
      <c r="P165" s="127"/>
      <c r="Q165" s="127"/>
      <c r="R165" s="127"/>
      <c r="S165" s="127"/>
      <c r="T165" s="127"/>
      <c r="U165" s="127"/>
      <c r="V165" s="127"/>
      <c r="W165" s="127"/>
      <c r="X165" s="127"/>
      <c r="Y165" s="127"/>
      <c r="Z165" s="127"/>
      <c r="AA165" s="127"/>
      <c r="AB165" s="127"/>
      <c r="AC165" s="127"/>
      <c r="AD165" s="127"/>
      <c r="AE165" s="127"/>
      <c r="AF165" s="127"/>
      <c r="AG165" s="276"/>
      <c r="AH165" s="127"/>
      <c r="AI165" s="127"/>
      <c r="AJ165" s="127"/>
      <c r="AK165" s="127"/>
      <c r="AL165" s="127"/>
      <c r="AM165" s="127"/>
      <c r="AN165" s="127"/>
      <c r="AO165" s="127"/>
      <c r="AP165" s="127"/>
      <c r="AQ165" s="276"/>
    </row>
    <row r="166" spans="1:43">
      <c r="A166" s="68" t="s">
        <v>599</v>
      </c>
      <c r="B166" s="309">
        <v>0</v>
      </c>
      <c r="C166" s="309">
        <v>0</v>
      </c>
      <c r="D166" s="309">
        <v>0</v>
      </c>
      <c r="E166" s="309">
        <v>0</v>
      </c>
      <c r="F166" s="324">
        <f>E166+D166+C166+B166</f>
        <v>0</v>
      </c>
      <c r="G166" s="307"/>
      <c r="H166" s="307"/>
      <c r="I166" s="307"/>
      <c r="J166" s="307"/>
    </row>
    <row r="167" spans="1:43">
      <c r="A167" s="68" t="s">
        <v>600</v>
      </c>
      <c r="B167" s="309">
        <v>0</v>
      </c>
      <c r="C167" s="309">
        <v>0</v>
      </c>
      <c r="D167" s="309">
        <v>0</v>
      </c>
      <c r="E167" s="309">
        <v>0</v>
      </c>
      <c r="F167" s="324">
        <f>E167+D167+C167+B167</f>
        <v>0</v>
      </c>
      <c r="G167" s="307"/>
      <c r="H167" s="307"/>
      <c r="I167" s="307"/>
      <c r="J167" s="307"/>
    </row>
    <row r="168" spans="1:43">
      <c r="A168" s="68" t="s">
        <v>601</v>
      </c>
      <c r="B168" s="309">
        <v>1</v>
      </c>
      <c r="C168" s="309">
        <v>0</v>
      </c>
      <c r="D168" s="309">
        <v>0</v>
      </c>
      <c r="E168" s="309">
        <v>0</v>
      </c>
      <c r="F168" s="324">
        <f t="shared" ref="F168:F178" si="22">E168+D168+C168+B168</f>
        <v>1</v>
      </c>
      <c r="G168" s="307"/>
      <c r="H168" s="307"/>
      <c r="I168" s="307"/>
      <c r="J168" s="307"/>
    </row>
    <row r="169" spans="1:43" s="56" customFormat="1" ht="15">
      <c r="A169" s="68" t="s">
        <v>602</v>
      </c>
      <c r="B169" s="309">
        <v>0</v>
      </c>
      <c r="C169" s="309">
        <v>0</v>
      </c>
      <c r="D169" s="309">
        <v>0</v>
      </c>
      <c r="E169" s="309">
        <v>0</v>
      </c>
      <c r="F169" s="324">
        <f t="shared" si="22"/>
        <v>0</v>
      </c>
      <c r="G169" s="307"/>
      <c r="H169" s="307"/>
      <c r="I169" s="307"/>
      <c r="J169" s="307"/>
      <c r="K169" s="127"/>
      <c r="L169" s="127"/>
      <c r="M169" s="127"/>
      <c r="N169" s="127"/>
      <c r="O169" s="127"/>
      <c r="P169" s="127"/>
      <c r="Q169" s="127"/>
      <c r="R169" s="127"/>
      <c r="S169" s="127"/>
      <c r="T169" s="127"/>
      <c r="U169" s="127"/>
      <c r="V169" s="127"/>
      <c r="W169" s="127"/>
      <c r="X169" s="127"/>
      <c r="Y169" s="127"/>
      <c r="Z169" s="127"/>
      <c r="AA169" s="127"/>
      <c r="AB169" s="127"/>
      <c r="AC169" s="127"/>
      <c r="AD169" s="127"/>
      <c r="AE169" s="127"/>
      <c r="AF169" s="127"/>
      <c r="AG169" s="276"/>
      <c r="AH169" s="127"/>
      <c r="AI169" s="127"/>
      <c r="AJ169" s="127"/>
      <c r="AK169" s="127"/>
      <c r="AL169" s="127"/>
      <c r="AM169" s="127"/>
      <c r="AN169" s="127"/>
      <c r="AO169" s="127"/>
      <c r="AP169" s="127"/>
      <c r="AQ169" s="276"/>
    </row>
    <row r="170" spans="1:43">
      <c r="A170" s="68" t="s">
        <v>603</v>
      </c>
      <c r="B170" s="309">
        <v>0</v>
      </c>
      <c r="C170" s="309">
        <v>0</v>
      </c>
      <c r="D170" s="309">
        <v>0</v>
      </c>
      <c r="E170" s="309">
        <v>0</v>
      </c>
      <c r="F170" s="324">
        <f t="shared" si="22"/>
        <v>0</v>
      </c>
      <c r="G170" s="307"/>
      <c r="H170" s="307"/>
      <c r="I170" s="307"/>
      <c r="J170" s="307"/>
    </row>
    <row r="171" spans="1:43">
      <c r="A171" s="68" t="s">
        <v>604</v>
      </c>
      <c r="B171" s="309">
        <v>1</v>
      </c>
      <c r="C171" s="309">
        <v>0</v>
      </c>
      <c r="D171" s="309">
        <v>0</v>
      </c>
      <c r="E171" s="309">
        <v>0</v>
      </c>
      <c r="F171" s="324">
        <f t="shared" si="22"/>
        <v>1</v>
      </c>
      <c r="G171" s="307"/>
      <c r="H171" s="307"/>
      <c r="I171" s="307"/>
      <c r="J171" s="307"/>
    </row>
    <row r="172" spans="1:43">
      <c r="A172" s="68" t="s">
        <v>605</v>
      </c>
      <c r="B172" s="309">
        <v>0</v>
      </c>
      <c r="C172" s="309">
        <v>0</v>
      </c>
      <c r="D172" s="309">
        <v>0</v>
      </c>
      <c r="E172" s="309">
        <v>0</v>
      </c>
      <c r="F172" s="324">
        <f t="shared" si="22"/>
        <v>0</v>
      </c>
      <c r="G172" s="307"/>
      <c r="H172" s="307"/>
      <c r="I172" s="307"/>
      <c r="J172" s="307"/>
    </row>
    <row r="173" spans="1:43">
      <c r="A173" s="68" t="s">
        <v>606</v>
      </c>
      <c r="B173" s="309">
        <v>0</v>
      </c>
      <c r="C173" s="309">
        <v>0</v>
      </c>
      <c r="D173" s="309">
        <v>0</v>
      </c>
      <c r="E173" s="309">
        <v>0</v>
      </c>
      <c r="F173" s="324">
        <f t="shared" si="22"/>
        <v>0</v>
      </c>
      <c r="G173" s="307"/>
      <c r="H173" s="307"/>
      <c r="I173" s="307"/>
      <c r="J173" s="307"/>
    </row>
    <row r="174" spans="1:43">
      <c r="A174" s="68" t="s">
        <v>607</v>
      </c>
      <c r="B174" s="309">
        <v>0</v>
      </c>
      <c r="C174" s="309">
        <v>0</v>
      </c>
      <c r="D174" s="309">
        <v>0</v>
      </c>
      <c r="E174" s="309">
        <v>0</v>
      </c>
      <c r="F174" s="324">
        <f t="shared" si="22"/>
        <v>0</v>
      </c>
      <c r="G174" s="307"/>
      <c r="H174" s="307"/>
      <c r="I174" s="307"/>
      <c r="J174" s="307"/>
    </row>
    <row r="175" spans="1:43">
      <c r="A175" s="68" t="s">
        <v>608</v>
      </c>
      <c r="B175" s="309">
        <v>0</v>
      </c>
      <c r="C175" s="309">
        <v>0</v>
      </c>
      <c r="D175" s="309">
        <v>0</v>
      </c>
      <c r="E175" s="309">
        <v>0</v>
      </c>
      <c r="F175" s="324">
        <f t="shared" si="22"/>
        <v>0</v>
      </c>
      <c r="G175" s="307"/>
      <c r="H175" s="307"/>
      <c r="I175" s="307"/>
      <c r="J175" s="307"/>
    </row>
    <row r="176" spans="1:43">
      <c r="A176" s="68" t="s">
        <v>609</v>
      </c>
      <c r="B176" s="309">
        <v>0</v>
      </c>
      <c r="C176" s="309">
        <v>0</v>
      </c>
      <c r="D176" s="309">
        <v>0</v>
      </c>
      <c r="E176" s="309">
        <v>0</v>
      </c>
      <c r="F176" s="324">
        <f t="shared" si="22"/>
        <v>0</v>
      </c>
      <c r="G176" s="307"/>
      <c r="H176" s="307"/>
      <c r="I176" s="307"/>
      <c r="J176" s="307"/>
    </row>
    <row r="177" spans="1:43">
      <c r="A177" s="68" t="s">
        <v>610</v>
      </c>
      <c r="B177" s="309">
        <v>0</v>
      </c>
      <c r="C177" s="309">
        <v>0</v>
      </c>
      <c r="D177" s="309">
        <v>0</v>
      </c>
      <c r="E177" s="309">
        <v>0</v>
      </c>
      <c r="F177" s="324">
        <f t="shared" si="22"/>
        <v>0</v>
      </c>
      <c r="G177" s="307"/>
      <c r="H177" s="307"/>
      <c r="I177" s="307"/>
      <c r="J177" s="307"/>
    </row>
    <row r="178" spans="1:43">
      <c r="A178" s="68" t="s">
        <v>611</v>
      </c>
      <c r="B178" s="309">
        <v>0</v>
      </c>
      <c r="C178" s="309">
        <v>0</v>
      </c>
      <c r="D178" s="309">
        <v>0</v>
      </c>
      <c r="E178" s="309">
        <v>0</v>
      </c>
      <c r="F178" s="324">
        <f t="shared" si="22"/>
        <v>0</v>
      </c>
      <c r="G178" s="307"/>
      <c r="H178" s="307"/>
      <c r="I178" s="307"/>
      <c r="J178" s="307"/>
    </row>
    <row r="179" spans="1:43" ht="13.5" thickBot="1">
      <c r="A179" s="71"/>
      <c r="B179" s="89"/>
      <c r="C179" s="80"/>
      <c r="D179" s="80"/>
      <c r="E179" s="80"/>
      <c r="F179" s="80"/>
      <c r="G179" s="75"/>
      <c r="H179" s="75"/>
      <c r="I179" s="75"/>
      <c r="J179" s="75"/>
    </row>
    <row r="182" spans="1:43" s="56" customFormat="1" ht="15.75" thickBot="1">
      <c r="A182" s="59" t="s">
        <v>612</v>
      </c>
      <c r="B182" s="8"/>
      <c r="C182" s="8"/>
      <c r="D182" s="8"/>
      <c r="E182" s="8"/>
      <c r="F182" s="8"/>
      <c r="G182" s="8"/>
      <c r="H182" s="8"/>
      <c r="I182" s="8"/>
      <c r="J182" s="127"/>
      <c r="K182" s="127"/>
      <c r="L182" s="127"/>
      <c r="M182" s="127"/>
      <c r="N182" s="127"/>
      <c r="O182" s="127"/>
      <c r="P182" s="127"/>
      <c r="Q182" s="127"/>
      <c r="R182" s="127"/>
      <c r="S182" s="127"/>
      <c r="T182" s="127"/>
      <c r="U182" s="127"/>
      <c r="V182" s="127"/>
      <c r="W182" s="127"/>
      <c r="X182" s="127"/>
      <c r="Y182" s="127"/>
      <c r="Z182" s="127"/>
      <c r="AA182" s="127"/>
      <c r="AB182" s="127"/>
      <c r="AC182" s="127"/>
      <c r="AD182" s="127"/>
      <c r="AE182" s="127"/>
      <c r="AF182" s="276"/>
      <c r="AG182" s="127"/>
      <c r="AH182" s="127"/>
      <c r="AI182" s="127"/>
      <c r="AJ182" s="127"/>
      <c r="AK182" s="127"/>
      <c r="AL182" s="127"/>
      <c r="AM182" s="127"/>
      <c r="AN182" s="127"/>
      <c r="AO182" s="127"/>
      <c r="AP182" s="127"/>
      <c r="AQ182" s="276"/>
    </row>
    <row r="183" spans="1:43" s="56" customFormat="1" ht="15.75" thickBot="1">
      <c r="A183" s="769" t="s">
        <v>613</v>
      </c>
      <c r="B183" s="767">
        <f>K186</f>
        <v>0</v>
      </c>
      <c r="C183" s="282" t="s">
        <v>614</v>
      </c>
      <c r="D183" s="275"/>
      <c r="E183" s="127"/>
      <c r="F183" s="127"/>
      <c r="G183" s="276"/>
      <c r="H183" s="127"/>
      <c r="I183" s="127"/>
      <c r="J183" s="281"/>
      <c r="K183" s="281"/>
      <c r="L183" s="281"/>
      <c r="M183" s="281"/>
      <c r="N183" s="281"/>
      <c r="O183" s="281"/>
      <c r="P183" s="281"/>
      <c r="Q183" s="281"/>
      <c r="R183" s="281"/>
      <c r="S183" s="281"/>
      <c r="T183" s="281"/>
      <c r="U183" s="281"/>
      <c r="V183" s="281"/>
      <c r="W183" s="281"/>
      <c r="X183" s="281"/>
      <c r="Y183" s="281"/>
      <c r="Z183" s="281"/>
      <c r="AA183" s="281"/>
      <c r="AB183" s="281"/>
      <c r="AC183" s="281"/>
      <c r="AD183" s="281"/>
      <c r="AE183" s="281"/>
      <c r="AF183" s="276"/>
      <c r="AG183" s="127"/>
      <c r="AH183" s="127"/>
      <c r="AI183" s="127"/>
      <c r="AJ183" s="127"/>
      <c r="AK183" s="127"/>
      <c r="AL183" s="127"/>
      <c r="AM183" s="127"/>
      <c r="AN183" s="127"/>
      <c r="AO183" s="127"/>
      <c r="AP183" s="127"/>
      <c r="AQ183" s="276"/>
    </row>
    <row r="184" spans="1:43" s="56" customFormat="1" ht="15">
      <c r="A184" s="8"/>
      <c r="B184" s="8"/>
      <c r="C184" s="8"/>
      <c r="D184" s="8"/>
      <c r="E184" s="8"/>
      <c r="F184" s="8"/>
      <c r="G184" s="8"/>
      <c r="H184" s="8"/>
      <c r="I184" s="8"/>
      <c r="J184" s="127"/>
      <c r="K184" s="127"/>
      <c r="L184" s="127"/>
      <c r="M184" s="127"/>
      <c r="N184" s="127"/>
      <c r="O184" s="127"/>
      <c r="P184" s="127"/>
      <c r="Q184" s="127"/>
      <c r="R184" s="127"/>
      <c r="S184" s="127"/>
      <c r="T184" s="127"/>
      <c r="U184" s="127"/>
      <c r="V184" s="127"/>
      <c r="W184" s="127"/>
      <c r="X184" s="127"/>
      <c r="Y184" s="127"/>
      <c r="Z184" s="127"/>
      <c r="AA184" s="127"/>
      <c r="AB184" s="127"/>
      <c r="AC184" s="127"/>
      <c r="AD184" s="127"/>
      <c r="AE184" s="127"/>
      <c r="AF184" s="276"/>
      <c r="AG184" s="127"/>
      <c r="AH184" s="127"/>
      <c r="AI184" s="127"/>
      <c r="AJ184" s="127"/>
      <c r="AK184" s="127"/>
      <c r="AL184" s="127"/>
      <c r="AM184" s="127"/>
      <c r="AN184" s="127"/>
      <c r="AO184" s="127"/>
      <c r="AP184" s="127"/>
      <c r="AQ184" s="276"/>
    </row>
    <row r="185" spans="1:43" ht="15.75" thickBot="1">
      <c r="A185" s="59" t="s">
        <v>615</v>
      </c>
    </row>
    <row r="186" spans="1:43" ht="15.75" thickBot="1">
      <c r="A186" s="764" t="str">
        <f>A183</f>
        <v>Hand Rail</v>
      </c>
      <c r="B186" s="765">
        <v>0</v>
      </c>
      <c r="C186" s="765">
        <v>0</v>
      </c>
      <c r="D186" s="765">
        <v>0</v>
      </c>
      <c r="E186" s="765">
        <v>0</v>
      </c>
      <c r="F186" s="765">
        <v>0</v>
      </c>
      <c r="G186" s="91">
        <v>0</v>
      </c>
      <c r="H186" s="765">
        <v>0</v>
      </c>
      <c r="I186" s="765">
        <v>0</v>
      </c>
      <c r="J186" s="765">
        <v>0</v>
      </c>
      <c r="K186" s="282">
        <f>SUM(B186:J186)</f>
        <v>0</v>
      </c>
      <c r="L186" s="306"/>
      <c r="Y186" s="102"/>
    </row>
    <row r="188" spans="1:43" ht="13.5" thickBot="1"/>
    <row r="189" spans="1:43" s="579" customFormat="1" ht="15.75" thickBot="1">
      <c r="A189" s="578" t="s">
        <v>124</v>
      </c>
    </row>
    <row r="191" spans="1:43" ht="15.75" thickBot="1">
      <c r="A191" s="59" t="s">
        <v>526</v>
      </c>
    </row>
    <row r="192" spans="1:43" s="56" customFormat="1" ht="15.75" thickBot="1">
      <c r="A192" s="286" t="s">
        <v>527</v>
      </c>
      <c r="B192" s="287">
        <f>D201-G219</f>
        <v>287.47822000000002</v>
      </c>
      <c r="C192" s="282" t="s">
        <v>84</v>
      </c>
      <c r="D192" s="275"/>
      <c r="E192" s="127"/>
      <c r="F192" s="580"/>
      <c r="G192" s="276"/>
      <c r="H192" s="127"/>
      <c r="I192" s="127"/>
      <c r="J192" s="127"/>
      <c r="K192" s="127"/>
      <c r="L192" s="127"/>
      <c r="M192" s="127"/>
      <c r="N192" s="127"/>
      <c r="O192" s="127"/>
      <c r="P192" s="127"/>
      <c r="Q192" s="127"/>
      <c r="R192" s="127"/>
      <c r="S192" s="127"/>
      <c r="T192" s="127"/>
      <c r="U192" s="127"/>
      <c r="V192" s="127"/>
      <c r="W192" s="127"/>
      <c r="X192" s="127"/>
      <c r="Y192" s="127"/>
      <c r="Z192" s="127"/>
      <c r="AA192" s="127"/>
      <c r="AB192" s="127"/>
      <c r="AC192" s="127"/>
      <c r="AD192" s="127"/>
      <c r="AE192" s="127"/>
      <c r="AF192" s="127"/>
      <c r="AG192" s="276"/>
      <c r="AH192" s="127"/>
      <c r="AI192" s="127"/>
      <c r="AJ192" s="127"/>
      <c r="AK192" s="127"/>
      <c r="AL192" s="127"/>
      <c r="AM192" s="127"/>
      <c r="AN192" s="127"/>
      <c r="AO192" s="127"/>
      <c r="AP192" s="127"/>
      <c r="AQ192" s="276"/>
    </row>
    <row r="193" spans="1:43" ht="13.5" thickBot="1"/>
    <row r="194" spans="1:43" ht="13.5" thickBot="1">
      <c r="A194" s="283" t="s">
        <v>382</v>
      </c>
      <c r="B194" s="284" t="s">
        <v>383</v>
      </c>
      <c r="C194" s="284" t="s">
        <v>385</v>
      </c>
      <c r="D194" s="285" t="s">
        <v>408</v>
      </c>
    </row>
    <row r="195" spans="1:43">
      <c r="A195" s="61"/>
      <c r="B195" s="82"/>
      <c r="C195" s="82"/>
      <c r="D195" s="82"/>
    </row>
    <row r="196" spans="1:43" ht="15">
      <c r="A196" s="67" t="s">
        <v>528</v>
      </c>
      <c r="B196" s="78">
        <f>P204</f>
        <v>31.825999999999997</v>
      </c>
      <c r="C196" s="78">
        <f>3-0.43+1</f>
        <v>3.57</v>
      </c>
      <c r="D196" s="79">
        <f>C196*B196</f>
        <v>113.61881999999999</v>
      </c>
      <c r="E196" s="75"/>
      <c r="F196" s="75"/>
      <c r="G196" s="75"/>
    </row>
    <row r="197" spans="1:43" ht="15">
      <c r="A197" s="67" t="s">
        <v>530</v>
      </c>
      <c r="B197" s="78">
        <f>P205</f>
        <v>41.684000000000005</v>
      </c>
      <c r="C197" s="78">
        <f>3-0.15+1</f>
        <v>3.85</v>
      </c>
      <c r="D197" s="79">
        <f>C197*B197</f>
        <v>160.48340000000002</v>
      </c>
      <c r="E197" s="75"/>
      <c r="F197" s="75"/>
      <c r="G197" s="75"/>
    </row>
    <row r="198" spans="1:43" ht="15">
      <c r="A198" s="67" t="s">
        <v>530</v>
      </c>
      <c r="B198" s="78">
        <f>P206</f>
        <v>0</v>
      </c>
      <c r="C198" s="78">
        <v>1.2</v>
      </c>
      <c r="D198" s="79">
        <f>C198*B198</f>
        <v>0</v>
      </c>
      <c r="E198" s="75"/>
      <c r="F198" s="75"/>
      <c r="G198" s="75"/>
    </row>
    <row r="199" spans="1:43" ht="15">
      <c r="A199" s="67" t="s">
        <v>616</v>
      </c>
      <c r="B199" s="78">
        <f>P207</f>
        <v>9.2579999999999991</v>
      </c>
      <c r="C199" s="78">
        <v>2</v>
      </c>
      <c r="D199" s="79">
        <f>C199*B199</f>
        <v>18.515999999999998</v>
      </c>
      <c r="E199" s="75"/>
      <c r="F199" s="75"/>
      <c r="G199" s="75"/>
    </row>
    <row r="200" spans="1:43" ht="15.75" thickBot="1">
      <c r="A200" s="67"/>
      <c r="B200" s="78"/>
      <c r="C200" s="78"/>
      <c r="D200" s="79"/>
    </row>
    <row r="201" spans="1:43" ht="15.75" thickBot="1">
      <c r="A201" s="958" t="s">
        <v>393</v>
      </c>
      <c r="B201" s="959"/>
      <c r="C201" s="960"/>
      <c r="D201" s="77">
        <f>SUM(D195:D200)</f>
        <v>292.61822000000001</v>
      </c>
    </row>
    <row r="203" spans="1:43" ht="15.75" thickBot="1">
      <c r="A203" s="59" t="s">
        <v>531</v>
      </c>
    </row>
    <row r="204" spans="1:43" s="56" customFormat="1" ht="17.25" customHeight="1" thickBot="1">
      <c r="A204" s="764" t="str">
        <f>A196</f>
        <v>150mm outer wall (Beam Line)</v>
      </c>
      <c r="B204" s="765">
        <v>4.101</v>
      </c>
      <c r="C204" s="765">
        <v>5.3920000000000003</v>
      </c>
      <c r="D204" s="765">
        <v>1.9570000000000001</v>
      </c>
      <c r="E204" s="765">
        <v>2.1549999999999998</v>
      </c>
      <c r="F204" s="765">
        <v>1.9239999999999999</v>
      </c>
      <c r="G204" s="765">
        <v>1.64</v>
      </c>
      <c r="H204" s="765">
        <v>4.25</v>
      </c>
      <c r="I204" s="765">
        <v>3.8</v>
      </c>
      <c r="J204" s="765">
        <v>1.9</v>
      </c>
      <c r="K204" s="765">
        <v>2.2050000000000001</v>
      </c>
      <c r="L204" s="765">
        <v>2.5019999999999998</v>
      </c>
      <c r="M204" s="765">
        <v>0</v>
      </c>
      <c r="N204" s="765">
        <v>0</v>
      </c>
      <c r="O204" s="765">
        <v>0</v>
      </c>
      <c r="P204" s="282">
        <f>SUM(B204:O204)</f>
        <v>31.825999999999997</v>
      </c>
      <c r="Q204" s="127"/>
      <c r="R204" s="127"/>
      <c r="S204" s="127"/>
      <c r="T204" s="127"/>
      <c r="U204" s="127"/>
      <c r="V204" s="127"/>
      <c r="W204" s="127"/>
      <c r="X204" s="127"/>
      <c r="Y204" s="127"/>
      <c r="Z204" s="127"/>
      <c r="AA204" s="127"/>
      <c r="AB204" s="276"/>
      <c r="AC204" s="127"/>
      <c r="AD204" s="127"/>
      <c r="AE204" s="127"/>
      <c r="AF204" s="127"/>
      <c r="AG204" s="276"/>
      <c r="AH204" s="127"/>
      <c r="AI204" s="127"/>
      <c r="AJ204" s="127"/>
      <c r="AK204" s="127"/>
      <c r="AL204" s="127"/>
      <c r="AM204" s="127"/>
      <c r="AN204" s="127"/>
      <c r="AO204" s="127"/>
      <c r="AP204" s="127"/>
      <c r="AQ204" s="276"/>
    </row>
    <row r="205" spans="1:43" s="56" customFormat="1" ht="17.25" customHeight="1" thickBot="1">
      <c r="A205" s="764" t="str">
        <f>A197</f>
        <v>150mm outer wall (Slab Line)</v>
      </c>
      <c r="B205" s="765">
        <v>2.911</v>
      </c>
      <c r="C205" s="765">
        <v>1.3180000000000001</v>
      </c>
      <c r="D205" s="765">
        <v>3.524</v>
      </c>
      <c r="E205" s="770">
        <v>6.6260000000000003</v>
      </c>
      <c r="F205" s="765">
        <v>2.4500000000000002</v>
      </c>
      <c r="G205" s="765">
        <v>1.89</v>
      </c>
      <c r="H205" s="765">
        <v>1.84</v>
      </c>
      <c r="I205" s="765">
        <v>5.65</v>
      </c>
      <c r="J205" s="765">
        <v>5.55</v>
      </c>
      <c r="K205" s="765">
        <v>5.7249999999999996</v>
      </c>
      <c r="L205" s="765">
        <v>4.2</v>
      </c>
      <c r="M205" s="765">
        <v>0</v>
      </c>
      <c r="N205" s="765">
        <v>0</v>
      </c>
      <c r="O205" s="765">
        <v>0</v>
      </c>
      <c r="P205" s="282">
        <f>SUM(B205:O205)</f>
        <v>41.684000000000005</v>
      </c>
      <c r="Q205" s="127"/>
      <c r="R205" s="127"/>
      <c r="S205" s="127"/>
      <c r="T205" s="127"/>
      <c r="U205" s="127"/>
      <c r="V205" s="127"/>
      <c r="W205" s="127"/>
      <c r="X205" s="127"/>
      <c r="Y205" s="127"/>
      <c r="Z205" s="127"/>
      <c r="AA205" s="127"/>
      <c r="AB205" s="276"/>
      <c r="AC205" s="127"/>
      <c r="AD205" s="127"/>
      <c r="AE205" s="127"/>
      <c r="AF205" s="127"/>
      <c r="AG205" s="276"/>
      <c r="AH205" s="127"/>
      <c r="AI205" s="127"/>
      <c r="AJ205" s="127"/>
      <c r="AK205" s="127"/>
      <c r="AL205" s="127"/>
      <c r="AM205" s="127"/>
      <c r="AN205" s="127"/>
      <c r="AO205" s="127"/>
      <c r="AP205" s="127"/>
      <c r="AQ205" s="276"/>
    </row>
    <row r="206" spans="1:43" s="56" customFormat="1" ht="17.25" customHeight="1" thickBot="1">
      <c r="A206" s="764" t="str">
        <f>A198</f>
        <v>150mm outer wall (Slab Line)</v>
      </c>
      <c r="B206" s="765">
        <v>0</v>
      </c>
      <c r="C206" s="765">
        <v>0</v>
      </c>
      <c r="D206" s="765">
        <v>0</v>
      </c>
      <c r="E206" s="765">
        <v>0</v>
      </c>
      <c r="F206" s="765">
        <v>0</v>
      </c>
      <c r="G206" s="765">
        <v>0</v>
      </c>
      <c r="H206" s="765">
        <v>0</v>
      </c>
      <c r="I206" s="765">
        <v>0</v>
      </c>
      <c r="J206" s="765">
        <v>0</v>
      </c>
      <c r="K206" s="765">
        <v>0</v>
      </c>
      <c r="L206" s="765">
        <v>0</v>
      </c>
      <c r="M206" s="765">
        <v>0</v>
      </c>
      <c r="N206" s="765">
        <v>0</v>
      </c>
      <c r="O206" s="765">
        <v>0</v>
      </c>
      <c r="P206" s="282">
        <f>SUM(B206:O206)</f>
        <v>0</v>
      </c>
      <c r="Q206" s="127"/>
      <c r="R206" s="127"/>
      <c r="S206" s="127"/>
      <c r="T206" s="127"/>
      <c r="U206" s="127"/>
      <c r="V206" s="127"/>
      <c r="W206" s="127"/>
      <c r="X206" s="127"/>
      <c r="Y206" s="127"/>
      <c r="Z206" s="127"/>
      <c r="AA206" s="127"/>
      <c r="AB206" s="276"/>
      <c r="AC206" s="127"/>
      <c r="AD206" s="127"/>
      <c r="AE206" s="127"/>
      <c r="AF206" s="127"/>
      <c r="AG206" s="276"/>
      <c r="AH206" s="127"/>
      <c r="AI206" s="127"/>
      <c r="AJ206" s="127"/>
      <c r="AK206" s="127"/>
      <c r="AL206" s="127"/>
      <c r="AM206" s="127"/>
      <c r="AN206" s="127"/>
      <c r="AO206" s="127"/>
      <c r="AP206" s="127"/>
      <c r="AQ206" s="276"/>
    </row>
    <row r="207" spans="1:43" s="56" customFormat="1" ht="17.25" customHeight="1" thickBot="1">
      <c r="A207" s="764" t="str">
        <f>A199</f>
        <v>150mm - 2M wall</v>
      </c>
      <c r="B207" s="765">
        <v>3.5979999999999999</v>
      </c>
      <c r="C207" s="765">
        <v>3.76</v>
      </c>
      <c r="D207" s="765">
        <v>1.9</v>
      </c>
      <c r="E207" s="765">
        <v>0</v>
      </c>
      <c r="F207" s="765">
        <v>0</v>
      </c>
      <c r="G207" s="765">
        <v>0</v>
      </c>
      <c r="H207" s="765">
        <v>0</v>
      </c>
      <c r="I207" s="765">
        <v>0</v>
      </c>
      <c r="J207" s="765">
        <v>0</v>
      </c>
      <c r="K207" s="765">
        <v>0</v>
      </c>
      <c r="L207" s="765">
        <v>0</v>
      </c>
      <c r="M207" s="765">
        <v>0</v>
      </c>
      <c r="N207" s="765">
        <v>0</v>
      </c>
      <c r="O207" s="765">
        <v>0</v>
      </c>
      <c r="P207" s="282">
        <f>SUM(B207:O207)</f>
        <v>9.2579999999999991</v>
      </c>
      <c r="Q207" s="127"/>
      <c r="R207" s="127"/>
      <c r="S207" s="127"/>
      <c r="T207" s="127"/>
      <c r="U207" s="127"/>
      <c r="V207" s="127"/>
      <c r="W207" s="127"/>
      <c r="X207" s="127"/>
      <c r="Y207" s="127"/>
      <c r="Z207" s="127"/>
      <c r="AA207" s="127"/>
      <c r="AB207" s="276"/>
      <c r="AC207" s="127"/>
      <c r="AD207" s="127"/>
      <c r="AE207" s="127"/>
      <c r="AF207" s="127"/>
      <c r="AG207" s="276"/>
      <c r="AH207" s="127"/>
      <c r="AI207" s="127"/>
      <c r="AJ207" s="127"/>
      <c r="AK207" s="127"/>
      <c r="AL207" s="127"/>
      <c r="AM207" s="127"/>
      <c r="AN207" s="127"/>
      <c r="AO207" s="127"/>
      <c r="AP207" s="127"/>
      <c r="AQ207" s="276"/>
    </row>
    <row r="209" spans="1:16" ht="15.75" thickBot="1">
      <c r="A209" s="59" t="s">
        <v>447</v>
      </c>
    </row>
    <row r="210" spans="1:16" s="56" customFormat="1" ht="15.75" customHeight="1" thickBot="1">
      <c r="A210" s="310" t="s">
        <v>382</v>
      </c>
      <c r="B210" s="311" t="s">
        <v>82</v>
      </c>
      <c r="C210" s="311" t="s">
        <v>291</v>
      </c>
      <c r="D210" s="311" t="s">
        <v>384</v>
      </c>
      <c r="E210" s="311" t="s">
        <v>385</v>
      </c>
      <c r="F210" s="313" t="s">
        <v>409</v>
      </c>
      <c r="G210" s="314" t="s">
        <v>532</v>
      </c>
      <c r="H210" s="961" t="s">
        <v>533</v>
      </c>
      <c r="I210" s="962"/>
      <c r="J210" s="962"/>
      <c r="K210" s="962"/>
      <c r="L210" s="962"/>
      <c r="M210" s="962"/>
      <c r="N210" s="962"/>
      <c r="O210" s="963"/>
      <c r="P210" s="315" t="s">
        <v>532</v>
      </c>
    </row>
    <row r="211" spans="1:16">
      <c r="A211" s="61"/>
      <c r="B211" s="61"/>
      <c r="C211" s="61"/>
      <c r="D211" s="61"/>
      <c r="E211" s="61"/>
      <c r="F211" s="61"/>
      <c r="G211" s="61"/>
      <c r="N211" s="69"/>
      <c r="O211" s="70"/>
      <c r="P211" s="61"/>
    </row>
    <row r="212" spans="1:16" ht="15">
      <c r="A212" s="62" t="s">
        <v>534</v>
      </c>
      <c r="B212" s="309" t="s">
        <v>617</v>
      </c>
      <c r="C212" s="73">
        <f>P212</f>
        <v>1</v>
      </c>
      <c r="D212" s="73">
        <v>1.9</v>
      </c>
      <c r="E212" s="73">
        <v>1.6</v>
      </c>
      <c r="F212" s="79">
        <f>E212*D212</f>
        <v>3.04</v>
      </c>
      <c r="G212" s="79">
        <f>F212*C212</f>
        <v>3.04</v>
      </c>
      <c r="H212" s="102">
        <v>1</v>
      </c>
      <c r="I212" s="102">
        <v>0</v>
      </c>
      <c r="J212" s="102">
        <v>0</v>
      </c>
      <c r="K212" s="75">
        <v>0</v>
      </c>
      <c r="L212" s="75">
        <v>0</v>
      </c>
      <c r="M212" s="75">
        <v>0</v>
      </c>
      <c r="N212" s="75">
        <v>0</v>
      </c>
      <c r="O212" s="766">
        <v>0</v>
      </c>
      <c r="P212" s="79">
        <f>SUM(H212:O212)</f>
        <v>1</v>
      </c>
    </row>
    <row r="213" spans="1:16" ht="15">
      <c r="A213" s="63"/>
      <c r="B213" s="309"/>
      <c r="C213" s="73"/>
      <c r="D213" s="73"/>
      <c r="E213" s="73"/>
      <c r="F213" s="79"/>
      <c r="G213" s="79"/>
      <c r="H213" s="102"/>
      <c r="I213" s="102"/>
      <c r="J213" s="102"/>
      <c r="O213" s="217"/>
      <c r="P213" s="79"/>
    </row>
    <row r="214" spans="1:16" ht="15">
      <c r="A214" s="62" t="s">
        <v>538</v>
      </c>
      <c r="B214" s="309" t="s">
        <v>618</v>
      </c>
      <c r="C214" s="73">
        <f>P214</f>
        <v>3</v>
      </c>
      <c r="D214" s="73">
        <v>1</v>
      </c>
      <c r="E214" s="73">
        <v>0.7</v>
      </c>
      <c r="F214" s="79">
        <f t="shared" ref="F214:F217" si="23">E214*D214</f>
        <v>0.7</v>
      </c>
      <c r="G214" s="79">
        <f t="shared" ref="G214:G217" si="24">F214*C214</f>
        <v>2.0999999999999996</v>
      </c>
      <c r="H214" s="102">
        <v>1</v>
      </c>
      <c r="I214" s="75">
        <v>1</v>
      </c>
      <c r="J214" s="75">
        <v>1</v>
      </c>
      <c r="K214" s="75">
        <v>0</v>
      </c>
      <c r="L214" s="75">
        <v>0</v>
      </c>
      <c r="M214" s="75">
        <v>0</v>
      </c>
      <c r="N214" s="75">
        <v>0</v>
      </c>
      <c r="O214" s="766">
        <v>0</v>
      </c>
      <c r="P214" s="79">
        <f t="shared" ref="P214:P217" si="25">SUM(H214:O214)</f>
        <v>3</v>
      </c>
    </row>
    <row r="215" spans="1:16" ht="15">
      <c r="A215" s="598"/>
      <c r="B215" s="309" t="s">
        <v>543</v>
      </c>
      <c r="C215" s="73">
        <f>P215</f>
        <v>3</v>
      </c>
      <c r="D215" s="73">
        <v>2.335</v>
      </c>
      <c r="E215" s="73">
        <v>2.6</v>
      </c>
      <c r="F215" s="79">
        <f t="shared" si="23"/>
        <v>6.0709999999999997</v>
      </c>
      <c r="G215" s="79">
        <f t="shared" si="24"/>
        <v>18.213000000000001</v>
      </c>
      <c r="H215" s="102">
        <v>1</v>
      </c>
      <c r="I215" s="75">
        <v>1</v>
      </c>
      <c r="J215" s="75">
        <v>1</v>
      </c>
      <c r="K215" s="75">
        <v>0</v>
      </c>
      <c r="L215" s="75">
        <v>0</v>
      </c>
      <c r="M215" s="75">
        <v>0</v>
      </c>
      <c r="N215" s="75">
        <v>0</v>
      </c>
      <c r="O215" s="766">
        <v>0</v>
      </c>
      <c r="P215" s="79">
        <f t="shared" si="25"/>
        <v>3</v>
      </c>
    </row>
    <row r="216" spans="1:16" ht="15">
      <c r="A216" s="598"/>
      <c r="B216" s="309" t="s">
        <v>619</v>
      </c>
      <c r="C216" s="73">
        <f>P216</f>
        <v>3</v>
      </c>
      <c r="D216" s="73">
        <v>1.65</v>
      </c>
      <c r="E216" s="73">
        <v>2.25</v>
      </c>
      <c r="F216" s="79">
        <f t="shared" si="23"/>
        <v>3.7124999999999999</v>
      </c>
      <c r="G216" s="79">
        <f t="shared" si="24"/>
        <v>11.137499999999999</v>
      </c>
      <c r="H216" s="102">
        <v>1</v>
      </c>
      <c r="I216" s="75">
        <v>1</v>
      </c>
      <c r="J216" s="75">
        <v>1</v>
      </c>
      <c r="K216" s="75">
        <v>0</v>
      </c>
      <c r="L216" s="75">
        <v>0</v>
      </c>
      <c r="M216" s="75">
        <v>0</v>
      </c>
      <c r="N216" s="75">
        <v>0</v>
      </c>
      <c r="O216" s="766">
        <v>0</v>
      </c>
      <c r="P216" s="79">
        <f t="shared" si="25"/>
        <v>3</v>
      </c>
    </row>
    <row r="217" spans="1:16" ht="15">
      <c r="A217" s="598"/>
      <c r="B217" s="309" t="s">
        <v>620</v>
      </c>
      <c r="C217" s="73">
        <f>P217</f>
        <v>3</v>
      </c>
      <c r="D217" s="73">
        <v>1.1000000000000001</v>
      </c>
      <c r="E217" s="73">
        <v>2.25</v>
      </c>
      <c r="F217" s="79">
        <f t="shared" si="23"/>
        <v>2.4750000000000001</v>
      </c>
      <c r="G217" s="79">
        <f t="shared" si="24"/>
        <v>7.4250000000000007</v>
      </c>
      <c r="H217" s="102">
        <v>1</v>
      </c>
      <c r="I217" s="75">
        <v>1</v>
      </c>
      <c r="J217" s="75">
        <v>1</v>
      </c>
      <c r="K217" s="75">
        <v>0</v>
      </c>
      <c r="L217" s="75">
        <v>0</v>
      </c>
      <c r="M217" s="75">
        <v>0</v>
      </c>
      <c r="N217" s="75">
        <v>0</v>
      </c>
      <c r="O217" s="766">
        <v>0</v>
      </c>
      <c r="P217" s="79">
        <f t="shared" si="25"/>
        <v>3</v>
      </c>
    </row>
    <row r="218" spans="1:16" ht="15.75" thickBot="1">
      <c r="B218" s="309"/>
      <c r="C218" s="73"/>
      <c r="D218" s="73"/>
      <c r="E218" s="73"/>
      <c r="F218" s="79"/>
      <c r="G218" s="79"/>
      <c r="N218" s="280"/>
      <c r="O218" s="316"/>
      <c r="P218" s="79"/>
    </row>
    <row r="219" spans="1:16" ht="15.75" thickBot="1">
      <c r="A219" s="65"/>
      <c r="B219" s="955" t="s">
        <v>545</v>
      </c>
      <c r="C219" s="956"/>
      <c r="D219" s="956"/>
      <c r="E219" s="956"/>
      <c r="F219" s="957"/>
      <c r="G219" s="77">
        <f>SUM(G211:G214)</f>
        <v>5.14</v>
      </c>
      <c r="H219" s="293"/>
      <c r="I219" s="208"/>
      <c r="J219" s="208"/>
      <c r="K219" s="312"/>
      <c r="L219" s="312"/>
      <c r="M219" s="312"/>
      <c r="N219" s="312"/>
      <c r="O219" s="317"/>
      <c r="P219" s="77"/>
    </row>
    <row r="220" spans="1:16" ht="15">
      <c r="H220" s="102"/>
      <c r="I220" s="102"/>
      <c r="J220" s="102"/>
    </row>
    <row r="221" spans="1:16" ht="15">
      <c r="H221" s="102"/>
      <c r="I221" s="102"/>
      <c r="J221" s="102"/>
    </row>
    <row r="222" spans="1:16" ht="15.75" thickBot="1">
      <c r="A222" s="59" t="s">
        <v>546</v>
      </c>
    </row>
    <row r="223" spans="1:16" s="56" customFormat="1" ht="15.75" thickBot="1">
      <c r="A223" s="286" t="s">
        <v>547</v>
      </c>
      <c r="B223" s="287">
        <f>D231-H242+J242</f>
        <v>95.307899999999989</v>
      </c>
      <c r="C223" s="282" t="s">
        <v>84</v>
      </c>
      <c r="D223" s="275"/>
      <c r="E223" s="127"/>
      <c r="F223" s="127"/>
      <c r="G223" s="276"/>
      <c r="H223" s="127"/>
      <c r="I223" s="127"/>
      <c r="J223" s="277"/>
    </row>
    <row r="224" spans="1:16" ht="13.5" thickBot="1"/>
    <row r="225" spans="1:43" ht="15.75" thickBot="1">
      <c r="A225" s="283" t="s">
        <v>382</v>
      </c>
      <c r="B225" s="284" t="s">
        <v>383</v>
      </c>
      <c r="C225" s="284" t="s">
        <v>385</v>
      </c>
      <c r="D225" s="285" t="s">
        <v>408</v>
      </c>
      <c r="J225" s="102"/>
    </row>
    <row r="226" spans="1:43" ht="15">
      <c r="A226" s="61"/>
      <c r="B226" s="82"/>
      <c r="C226" s="82"/>
      <c r="D226" s="82"/>
      <c r="J226" s="102"/>
    </row>
    <row r="227" spans="1:43" ht="15">
      <c r="A227" s="67" t="s">
        <v>548</v>
      </c>
      <c r="B227" s="78">
        <f>M234</f>
        <v>16.765000000000001</v>
      </c>
      <c r="C227" s="78">
        <v>3</v>
      </c>
      <c r="D227" s="79">
        <f>C227*B227</f>
        <v>50.295000000000002</v>
      </c>
      <c r="E227" s="75" t="s">
        <v>549</v>
      </c>
      <c r="J227" s="102"/>
    </row>
    <row r="228" spans="1:43" ht="15">
      <c r="A228" s="67" t="s">
        <v>621</v>
      </c>
      <c r="B228" s="78">
        <f>M235</f>
        <v>9.2579999999999991</v>
      </c>
      <c r="C228" s="78">
        <v>4.1500000000000004</v>
      </c>
      <c r="D228" s="79">
        <f>C228*B228</f>
        <v>38.420699999999997</v>
      </c>
      <c r="J228" s="102"/>
    </row>
    <row r="229" spans="1:43" ht="15">
      <c r="A229" s="67" t="s">
        <v>622</v>
      </c>
      <c r="B229" s="78">
        <f>M236</f>
        <v>2.0680000000000001</v>
      </c>
      <c r="C229" s="78">
        <v>4.1500000000000004</v>
      </c>
      <c r="D229" s="79">
        <f>C229*B229</f>
        <v>8.5822000000000003</v>
      </c>
      <c r="J229" s="102"/>
    </row>
    <row r="230" spans="1:43" s="56" customFormat="1" ht="15.75" thickBot="1">
      <c r="A230" s="67"/>
      <c r="B230" s="78"/>
      <c r="C230" s="78"/>
      <c r="D230" s="79"/>
      <c r="E230" s="8"/>
      <c r="F230" s="8"/>
      <c r="G230" s="8"/>
      <c r="H230" s="8"/>
      <c r="I230" s="8"/>
      <c r="J230" s="127"/>
      <c r="K230" s="127"/>
      <c r="L230" s="127"/>
      <c r="M230" s="127"/>
      <c r="N230" s="127"/>
      <c r="O230" s="127"/>
      <c r="P230" s="127"/>
      <c r="Q230" s="127"/>
      <c r="R230" s="127"/>
      <c r="S230" s="127"/>
      <c r="T230" s="127"/>
      <c r="U230" s="127"/>
      <c r="V230" s="127"/>
      <c r="W230" s="127"/>
      <c r="X230" s="127"/>
      <c r="Y230" s="127"/>
      <c r="Z230" s="127"/>
      <c r="AA230" s="127"/>
      <c r="AB230" s="127"/>
      <c r="AC230" s="127"/>
      <c r="AD230" s="127"/>
      <c r="AE230" s="127"/>
      <c r="AF230" s="127"/>
      <c r="AG230" s="276"/>
      <c r="AH230" s="127"/>
      <c r="AI230" s="127"/>
      <c r="AJ230" s="127"/>
      <c r="AK230" s="127"/>
      <c r="AL230" s="127"/>
      <c r="AM230" s="127"/>
      <c r="AN230" s="127"/>
      <c r="AO230" s="127"/>
      <c r="AP230" s="127"/>
      <c r="AQ230" s="276"/>
    </row>
    <row r="231" spans="1:43" ht="15.75" thickBot="1">
      <c r="A231" s="958" t="s">
        <v>393</v>
      </c>
      <c r="B231" s="959"/>
      <c r="C231" s="960"/>
      <c r="D231" s="77">
        <f>SUM(D226:D230)</f>
        <v>97.297899999999998</v>
      </c>
    </row>
    <row r="233" spans="1:43" ht="15.75" thickBot="1">
      <c r="A233" s="59" t="s">
        <v>551</v>
      </c>
    </row>
    <row r="234" spans="1:43" ht="15.75" thickBot="1">
      <c r="A234" s="764" t="str">
        <f>A227</f>
        <v>Outer Wall - Full</v>
      </c>
      <c r="B234" s="765">
        <v>12.5</v>
      </c>
      <c r="C234" s="765">
        <v>2.2000000000000002</v>
      </c>
      <c r="D234" s="765">
        <v>2.0649999999999999</v>
      </c>
      <c r="E234" s="765">
        <v>0</v>
      </c>
      <c r="F234" s="765">
        <v>0</v>
      </c>
      <c r="G234" s="765">
        <v>0</v>
      </c>
      <c r="H234" s="765">
        <v>0</v>
      </c>
      <c r="I234" s="765">
        <v>0</v>
      </c>
      <c r="J234" s="765">
        <v>0</v>
      </c>
      <c r="K234" s="765">
        <v>0</v>
      </c>
      <c r="L234" s="765">
        <v>0</v>
      </c>
      <c r="M234" s="282">
        <f>SUM(B234:L234)</f>
        <v>16.765000000000001</v>
      </c>
    </row>
    <row r="235" spans="1:43" ht="15.75" thickBot="1">
      <c r="A235" s="764" t="str">
        <f>A228</f>
        <v xml:space="preserve">Outer wal - 2.0m </v>
      </c>
      <c r="B235" s="765">
        <v>3.5979999999999999</v>
      </c>
      <c r="C235" s="765">
        <v>3.76</v>
      </c>
      <c r="D235" s="765">
        <v>1.9</v>
      </c>
      <c r="E235" s="765">
        <v>0</v>
      </c>
      <c r="F235" s="765">
        <v>0</v>
      </c>
      <c r="G235" s="765">
        <v>0</v>
      </c>
      <c r="H235" s="765">
        <v>0</v>
      </c>
      <c r="I235" s="765">
        <v>0</v>
      </c>
      <c r="J235" s="765">
        <v>0</v>
      </c>
      <c r="K235" s="765">
        <v>0</v>
      </c>
      <c r="L235" s="765">
        <v>0</v>
      </c>
      <c r="M235" s="282">
        <f>SUM(B235:L235)</f>
        <v>9.2579999999999991</v>
      </c>
    </row>
    <row r="236" spans="1:43" ht="15.75" thickBot="1">
      <c r="A236" s="764" t="str">
        <f>A229</f>
        <v>Outer wal - 1.2M</v>
      </c>
      <c r="B236" s="765">
        <v>1.468</v>
      </c>
      <c r="C236" s="765">
        <v>0.6</v>
      </c>
      <c r="D236" s="765">
        <v>0</v>
      </c>
      <c r="E236" s="765">
        <v>0</v>
      </c>
      <c r="F236" s="765">
        <v>0</v>
      </c>
      <c r="G236" s="765">
        <v>0</v>
      </c>
      <c r="H236" s="765">
        <v>0</v>
      </c>
      <c r="I236" s="765">
        <v>0</v>
      </c>
      <c r="J236" s="765">
        <v>0</v>
      </c>
      <c r="K236" s="765">
        <v>0</v>
      </c>
      <c r="L236" s="765">
        <v>0</v>
      </c>
      <c r="M236" s="282">
        <f>SUM(B236:L236)</f>
        <v>2.0680000000000001</v>
      </c>
    </row>
    <row r="238" spans="1:43" ht="15.75" thickBot="1">
      <c r="A238" s="59" t="s">
        <v>552</v>
      </c>
    </row>
    <row r="239" spans="1:43" ht="15.75" customHeight="1" thickBot="1">
      <c r="A239" s="288" t="s">
        <v>382</v>
      </c>
      <c r="B239" s="289" t="s">
        <v>82</v>
      </c>
      <c r="C239" s="289" t="s">
        <v>291</v>
      </c>
      <c r="D239" s="289" t="s">
        <v>383</v>
      </c>
      <c r="E239" s="289" t="s">
        <v>384</v>
      </c>
      <c r="F239" s="289" t="s">
        <v>409</v>
      </c>
      <c r="G239" s="290" t="s">
        <v>532</v>
      </c>
      <c r="H239" s="291" t="s">
        <v>553</v>
      </c>
      <c r="I239" s="291" t="s">
        <v>554</v>
      </c>
      <c r="J239" s="292" t="s">
        <v>555</v>
      </c>
    </row>
    <row r="240" spans="1:43">
      <c r="A240" s="61"/>
      <c r="B240" s="61"/>
      <c r="C240" s="61"/>
      <c r="D240" s="61"/>
      <c r="E240" s="61"/>
      <c r="F240" s="294"/>
      <c r="G240" s="295"/>
      <c r="H240" s="63"/>
      <c r="I240" s="63"/>
      <c r="J240" s="63"/>
    </row>
    <row r="241" spans="1:12" ht="15.75" thickBot="1">
      <c r="A241" s="62" t="s">
        <v>534</v>
      </c>
      <c r="B241" s="72" t="str">
        <f>B212</f>
        <v>W03</v>
      </c>
      <c r="C241" s="72">
        <f>C212</f>
        <v>1</v>
      </c>
      <c r="D241" s="72">
        <f>D212</f>
        <v>1.9</v>
      </c>
      <c r="E241" s="72">
        <f>E212</f>
        <v>1.6</v>
      </c>
      <c r="F241" s="93">
        <f>E241*D241</f>
        <v>3.04</v>
      </c>
      <c r="G241" s="93">
        <f>F241*C241</f>
        <v>3.04</v>
      </c>
      <c r="H241" s="78">
        <f>G241</f>
        <v>3.04</v>
      </c>
      <c r="I241" s="78">
        <f>G241</f>
        <v>3.04</v>
      </c>
      <c r="J241" s="78">
        <f>(D241+E241+D241+E241)*C241*0.15</f>
        <v>1.05</v>
      </c>
    </row>
    <row r="242" spans="1:12" ht="15.75" thickBot="1">
      <c r="A242" s="65"/>
      <c r="B242" s="955" t="s">
        <v>545</v>
      </c>
      <c r="C242" s="956"/>
      <c r="D242" s="956"/>
      <c r="E242" s="956"/>
      <c r="F242" s="957"/>
      <c r="G242" s="293">
        <f>SUM(G240:G241)</f>
        <v>3.04</v>
      </c>
      <c r="H242" s="293">
        <f>SUM(H240:H241)</f>
        <v>3.04</v>
      </c>
      <c r="I242" s="293">
        <f>SUM(I240:I241)</f>
        <v>3.04</v>
      </c>
      <c r="J242" s="77">
        <f>SUM(J240:J241)</f>
        <v>1.05</v>
      </c>
      <c r="K242" s="75"/>
      <c r="L242" s="75"/>
    </row>
    <row r="243" spans="1:12" ht="15">
      <c r="A243" s="63"/>
      <c r="B243" s="72"/>
      <c r="C243" s="73"/>
      <c r="D243" s="73"/>
      <c r="E243" s="73"/>
      <c r="F243" s="93"/>
      <c r="G243" s="296"/>
      <c r="H243" s="78"/>
      <c r="I243" s="78"/>
      <c r="J243" s="78"/>
    </row>
    <row r="244" spans="1:12" s="56" customFormat="1" ht="15">
      <c r="A244" s="62" t="s">
        <v>538</v>
      </c>
      <c r="B244" s="72" t="str">
        <f t="shared" ref="B244:E247" si="26">B214</f>
        <v>W05</v>
      </c>
      <c r="C244" s="72">
        <f t="shared" si="26"/>
        <v>3</v>
      </c>
      <c r="D244" s="72">
        <f t="shared" si="26"/>
        <v>1</v>
      </c>
      <c r="E244" s="72">
        <f t="shared" si="26"/>
        <v>0.7</v>
      </c>
      <c r="F244" s="93">
        <f t="shared" ref="F244:F247" si="27">E244*D244</f>
        <v>0.7</v>
      </c>
      <c r="G244" s="93">
        <f t="shared" ref="G244:G247" si="28">F244*C244</f>
        <v>2.0999999999999996</v>
      </c>
      <c r="H244" s="78">
        <f>G244</f>
        <v>2.0999999999999996</v>
      </c>
      <c r="I244" s="78">
        <f>G244</f>
        <v>2.0999999999999996</v>
      </c>
      <c r="J244" s="78">
        <f>(D244+E244+D244+E244)*C244*0.15</f>
        <v>1.53</v>
      </c>
      <c r="K244" s="277"/>
      <c r="L244" s="277"/>
    </row>
    <row r="245" spans="1:12" s="56" customFormat="1" ht="15">
      <c r="A245" s="62"/>
      <c r="B245" s="72" t="str">
        <f t="shared" si="26"/>
        <v>SD01</v>
      </c>
      <c r="C245" s="72">
        <f t="shared" si="26"/>
        <v>3</v>
      </c>
      <c r="D245" s="72">
        <f t="shared" si="26"/>
        <v>2.335</v>
      </c>
      <c r="E245" s="72">
        <f t="shared" si="26"/>
        <v>2.6</v>
      </c>
      <c r="F245" s="93">
        <f t="shared" si="27"/>
        <v>6.0709999999999997</v>
      </c>
      <c r="G245" s="93">
        <f t="shared" si="28"/>
        <v>18.213000000000001</v>
      </c>
      <c r="H245" s="78">
        <f t="shared" ref="H245:H247" si="29">G245</f>
        <v>18.213000000000001</v>
      </c>
      <c r="I245" s="78">
        <f t="shared" ref="I245:I247" si="30">G245</f>
        <v>18.213000000000001</v>
      </c>
      <c r="J245" s="78">
        <f t="shared" ref="J245:J247" si="31">(D245+E245+D245+E245)*C245*0.15</f>
        <v>4.4415000000000004</v>
      </c>
      <c r="K245" s="277"/>
      <c r="L245" s="277"/>
    </row>
    <row r="246" spans="1:12" s="56" customFormat="1" ht="15">
      <c r="A246" s="62"/>
      <c r="B246" s="72" t="str">
        <f t="shared" si="26"/>
        <v>PD02</v>
      </c>
      <c r="C246" s="72">
        <f t="shared" si="26"/>
        <v>3</v>
      </c>
      <c r="D246" s="72">
        <f t="shared" si="26"/>
        <v>1.65</v>
      </c>
      <c r="E246" s="72">
        <f t="shared" si="26"/>
        <v>2.25</v>
      </c>
      <c r="F246" s="93">
        <f t="shared" si="27"/>
        <v>3.7124999999999999</v>
      </c>
      <c r="G246" s="93">
        <f t="shared" si="28"/>
        <v>11.137499999999999</v>
      </c>
      <c r="H246" s="78">
        <f t="shared" si="29"/>
        <v>11.137499999999999</v>
      </c>
      <c r="I246" s="78">
        <f t="shared" si="30"/>
        <v>11.137499999999999</v>
      </c>
      <c r="J246" s="78">
        <f t="shared" si="31"/>
        <v>3.51</v>
      </c>
      <c r="K246" s="277"/>
      <c r="L246" s="277"/>
    </row>
    <row r="247" spans="1:12" s="56" customFormat="1" ht="15">
      <c r="A247" s="62"/>
      <c r="B247" s="72" t="str">
        <f t="shared" si="26"/>
        <v>D04</v>
      </c>
      <c r="C247" s="72">
        <f t="shared" si="26"/>
        <v>3</v>
      </c>
      <c r="D247" s="72">
        <f t="shared" si="26"/>
        <v>1.1000000000000001</v>
      </c>
      <c r="E247" s="72">
        <f t="shared" si="26"/>
        <v>2.25</v>
      </c>
      <c r="F247" s="93">
        <f t="shared" si="27"/>
        <v>2.4750000000000001</v>
      </c>
      <c r="G247" s="93">
        <f t="shared" si="28"/>
        <v>7.4250000000000007</v>
      </c>
      <c r="H247" s="78">
        <f t="shared" si="29"/>
        <v>7.4250000000000007</v>
      </c>
      <c r="I247" s="78">
        <f t="shared" si="30"/>
        <v>7.4250000000000007</v>
      </c>
      <c r="J247" s="78">
        <f t="shared" si="31"/>
        <v>3.0150000000000001</v>
      </c>
      <c r="K247" s="277"/>
      <c r="L247" s="277"/>
    </row>
    <row r="248" spans="1:12" ht="15.75" thickBot="1">
      <c r="A248" s="63"/>
      <c r="B248" s="72"/>
      <c r="C248" s="73"/>
      <c r="D248" s="73"/>
      <c r="E248" s="73"/>
      <c r="F248" s="93"/>
      <c r="G248" s="296"/>
      <c r="H248" s="78"/>
      <c r="I248" s="78"/>
      <c r="J248" s="78"/>
      <c r="K248" s="75"/>
      <c r="L248" s="75"/>
    </row>
    <row r="249" spans="1:12" ht="15.75" thickBot="1">
      <c r="A249" s="65"/>
      <c r="B249" s="955" t="s">
        <v>545</v>
      </c>
      <c r="C249" s="956"/>
      <c r="D249" s="956"/>
      <c r="E249" s="956"/>
      <c r="F249" s="957"/>
      <c r="G249" s="293">
        <f>SUM(G243:G248)</f>
        <v>38.875500000000002</v>
      </c>
      <c r="H249" s="293">
        <f>SUM(H243:H248)</f>
        <v>38.875500000000002</v>
      </c>
      <c r="I249" s="293">
        <f>SUM(I243:I248)</f>
        <v>38.875500000000002</v>
      </c>
      <c r="J249" s="77">
        <f>SUM(J243:J248)</f>
        <v>12.496500000000001</v>
      </c>
      <c r="K249" s="75"/>
      <c r="L249" s="75"/>
    </row>
    <row r="250" spans="1:12">
      <c r="J250" s="75"/>
      <c r="K250" s="75"/>
      <c r="L250" s="75"/>
    </row>
    <row r="251" spans="1:12" ht="15.75" thickBot="1">
      <c r="A251" s="59" t="s">
        <v>556</v>
      </c>
      <c r="J251" s="75"/>
      <c r="K251" s="75"/>
      <c r="L251" s="75"/>
    </row>
    <row r="252" spans="1:12" ht="15.75" thickBot="1">
      <c r="A252" s="286" t="s">
        <v>557</v>
      </c>
      <c r="B252" s="297">
        <f>D258-I242-H249-I249+J249</f>
        <v>366.34247000000005</v>
      </c>
      <c r="C252" s="282" t="s">
        <v>84</v>
      </c>
      <c r="D252" s="127"/>
      <c r="E252" s="127"/>
      <c r="F252" s="127"/>
      <c r="G252" s="276"/>
      <c r="H252" s="127"/>
      <c r="I252" s="127"/>
      <c r="J252" s="75"/>
      <c r="K252" s="75"/>
      <c r="L252" s="75"/>
    </row>
    <row r="253" spans="1:12" ht="13.5" thickBot="1">
      <c r="J253" s="75"/>
      <c r="K253" s="75"/>
      <c r="L253" s="75"/>
    </row>
    <row r="254" spans="1:12" ht="13.5" thickBot="1">
      <c r="A254" s="283" t="s">
        <v>382</v>
      </c>
      <c r="B254" s="284" t="s">
        <v>383</v>
      </c>
      <c r="C254" s="284" t="s">
        <v>385</v>
      </c>
      <c r="D254" s="285" t="s">
        <v>408</v>
      </c>
      <c r="J254" s="75"/>
      <c r="K254" s="75"/>
      <c r="L254" s="75"/>
    </row>
    <row r="255" spans="1:12">
      <c r="A255" s="61"/>
      <c r="B255" s="82"/>
      <c r="C255" s="82"/>
      <c r="D255" s="82"/>
      <c r="J255" s="75"/>
      <c r="K255" s="75"/>
    </row>
    <row r="256" spans="1:12" ht="15">
      <c r="A256" s="67" t="s">
        <v>558</v>
      </c>
      <c r="B256" s="78">
        <f>P261</f>
        <v>152.5042</v>
      </c>
      <c r="C256" s="78">
        <v>2.85</v>
      </c>
      <c r="D256" s="79">
        <f>C256*B256</f>
        <v>434.63697000000002</v>
      </c>
      <c r="J256" s="102"/>
    </row>
    <row r="257" spans="1:43" ht="13.5" thickBot="1">
      <c r="A257" s="65"/>
      <c r="B257" s="80"/>
      <c r="C257" s="80"/>
      <c r="D257" s="80"/>
    </row>
    <row r="258" spans="1:43" s="56" customFormat="1" ht="15.75" thickBot="1">
      <c r="A258" s="958" t="s">
        <v>393</v>
      </c>
      <c r="B258" s="959"/>
      <c r="C258" s="960"/>
      <c r="D258" s="77">
        <f>SUM(D254:D257)</f>
        <v>434.63697000000002</v>
      </c>
      <c r="E258" s="8"/>
      <c r="F258" s="8"/>
      <c r="G258" s="8"/>
      <c r="H258" s="8"/>
      <c r="I258" s="8"/>
      <c r="J258" s="127"/>
      <c r="K258" s="127"/>
      <c r="L258" s="127"/>
      <c r="M258" s="127"/>
      <c r="N258" s="127"/>
      <c r="O258" s="127"/>
      <c r="P258" s="127"/>
      <c r="Q258" s="127"/>
      <c r="R258" s="127"/>
      <c r="S258" s="127"/>
      <c r="T258" s="127"/>
      <c r="U258" s="127"/>
      <c r="V258" s="127"/>
      <c r="W258" s="127"/>
      <c r="X258" s="127"/>
      <c r="Y258" s="127"/>
      <c r="Z258" s="127"/>
      <c r="AA258" s="127"/>
      <c r="AB258" s="127"/>
      <c r="AC258" s="127"/>
      <c r="AD258" s="127"/>
      <c r="AE258" s="127"/>
      <c r="AF258" s="127"/>
      <c r="AG258" s="276"/>
      <c r="AH258" s="127"/>
      <c r="AI258" s="127"/>
      <c r="AJ258" s="127"/>
      <c r="AK258" s="127"/>
      <c r="AL258" s="127"/>
      <c r="AM258" s="127"/>
      <c r="AN258" s="127"/>
      <c r="AO258" s="127"/>
      <c r="AP258" s="127"/>
      <c r="AQ258" s="276"/>
    </row>
    <row r="260" spans="1:43" ht="15.75" thickBot="1">
      <c r="A260" s="59" t="s">
        <v>551</v>
      </c>
    </row>
    <row r="261" spans="1:43" ht="15.75" thickBot="1">
      <c r="A261" s="764" t="str">
        <f>A256</f>
        <v>Internal Wall</v>
      </c>
      <c r="B261" s="765">
        <v>12.564</v>
      </c>
      <c r="C261" s="765">
        <v>19.850000000000001</v>
      </c>
      <c r="D261" s="765">
        <v>12</v>
      </c>
      <c r="E261" s="765">
        <v>19.625</v>
      </c>
      <c r="F261" s="765">
        <v>32.785200000000003</v>
      </c>
      <c r="G261" s="765">
        <v>11.98</v>
      </c>
      <c r="H261" s="765">
        <v>17.149999999999999</v>
      </c>
      <c r="I261" s="765">
        <v>7.91</v>
      </c>
      <c r="J261" s="765">
        <v>8.2439999999999998</v>
      </c>
      <c r="K261" s="765">
        <v>2.9159999999999999</v>
      </c>
      <c r="L261" s="765">
        <v>5.48</v>
      </c>
      <c r="M261" s="765">
        <v>2</v>
      </c>
      <c r="N261" s="765">
        <v>0</v>
      </c>
      <c r="O261" s="765">
        <v>0</v>
      </c>
      <c r="P261" s="77">
        <f>SUM(B261:O261)</f>
        <v>152.5042</v>
      </c>
    </row>
    <row r="262" spans="1:43" ht="15">
      <c r="J262" s="102"/>
    </row>
    <row r="263" spans="1:43" ht="15.75" thickBot="1">
      <c r="A263" s="59" t="s">
        <v>559</v>
      </c>
      <c r="J263" s="102"/>
      <c r="K263" s="75"/>
    </row>
    <row r="264" spans="1:43" ht="15.75" thickBot="1">
      <c r="A264" s="764" t="s">
        <v>560</v>
      </c>
      <c r="B264" s="767">
        <f>Y268</f>
        <v>118.69999999999999</v>
      </c>
      <c r="C264" s="599" t="s">
        <v>84</v>
      </c>
      <c r="D264" s="275"/>
      <c r="E264" s="127"/>
      <c r="F264" s="127"/>
      <c r="G264" s="276"/>
      <c r="H264" s="127"/>
      <c r="I264" s="127"/>
      <c r="J264" s="102"/>
    </row>
    <row r="265" spans="1:43" ht="15.75" thickBot="1">
      <c r="A265" s="764" t="s">
        <v>561</v>
      </c>
      <c r="B265" s="767">
        <f>Y269</f>
        <v>11</v>
      </c>
      <c r="C265" s="599" t="s">
        <v>84</v>
      </c>
      <c r="D265" s="275"/>
      <c r="E265" s="127"/>
      <c r="F265" s="127"/>
      <c r="G265" s="276"/>
      <c r="H265" s="127"/>
      <c r="I265" s="127"/>
      <c r="J265" s="102"/>
    </row>
    <row r="266" spans="1:43" ht="15">
      <c r="J266" s="102"/>
    </row>
    <row r="267" spans="1:43" ht="15.75" thickBot="1">
      <c r="A267" s="59" t="s">
        <v>562</v>
      </c>
      <c r="J267" s="102"/>
    </row>
    <row r="268" spans="1:43" ht="15.75" thickBot="1">
      <c r="A268" s="764" t="s">
        <v>562</v>
      </c>
      <c r="B268" s="765">
        <v>8.4</v>
      </c>
      <c r="C268" s="765">
        <v>17.850000000000001</v>
      </c>
      <c r="D268" s="765">
        <v>9.32</v>
      </c>
      <c r="E268" s="765">
        <v>7.8</v>
      </c>
      <c r="F268" s="765">
        <v>8.0500000000000007</v>
      </c>
      <c r="G268" s="91">
        <v>7.75</v>
      </c>
      <c r="H268" s="765">
        <v>17.27</v>
      </c>
      <c r="I268" s="765">
        <v>20.38</v>
      </c>
      <c r="J268" s="91">
        <v>17.02</v>
      </c>
      <c r="K268" s="765">
        <v>4.8600000000000003</v>
      </c>
      <c r="L268" s="765">
        <v>0</v>
      </c>
      <c r="M268" s="91">
        <v>0</v>
      </c>
      <c r="N268" s="765">
        <v>0</v>
      </c>
      <c r="O268" s="765">
        <v>0</v>
      </c>
      <c r="P268" s="91">
        <v>0</v>
      </c>
      <c r="Q268" s="765">
        <v>0</v>
      </c>
      <c r="R268" s="765">
        <v>0</v>
      </c>
      <c r="S268" s="91">
        <v>0</v>
      </c>
      <c r="T268" s="765">
        <v>0</v>
      </c>
      <c r="U268" s="765">
        <v>0</v>
      </c>
      <c r="V268" s="91">
        <v>0</v>
      </c>
      <c r="W268" s="765">
        <v>0</v>
      </c>
      <c r="X268" s="765">
        <v>0</v>
      </c>
      <c r="Y268" s="77">
        <f>SUM(B268:X268)</f>
        <v>118.69999999999999</v>
      </c>
    </row>
    <row r="269" spans="1:43" ht="15.75" thickBot="1">
      <c r="A269" s="764" t="str">
        <f>A265</f>
        <v>Stair screeding</v>
      </c>
      <c r="B269" s="765">
        <v>5.5</v>
      </c>
      <c r="C269" s="765">
        <v>5.5</v>
      </c>
      <c r="D269" s="765">
        <v>0</v>
      </c>
      <c r="E269" s="765">
        <v>0</v>
      </c>
      <c r="F269" s="765">
        <v>0</v>
      </c>
      <c r="G269" s="91">
        <v>0</v>
      </c>
      <c r="H269" s="765">
        <v>0</v>
      </c>
      <c r="I269" s="765">
        <v>0</v>
      </c>
      <c r="J269" s="91">
        <v>0</v>
      </c>
      <c r="K269" s="765">
        <v>0</v>
      </c>
      <c r="L269" s="765">
        <v>0</v>
      </c>
      <c r="M269" s="91">
        <v>0</v>
      </c>
      <c r="N269" s="765">
        <v>0</v>
      </c>
      <c r="O269" s="765">
        <v>0</v>
      </c>
      <c r="P269" s="91">
        <v>0</v>
      </c>
      <c r="Q269" s="765">
        <v>0</v>
      </c>
      <c r="R269" s="765">
        <v>0</v>
      </c>
      <c r="S269" s="91">
        <v>0</v>
      </c>
      <c r="T269" s="765">
        <v>0</v>
      </c>
      <c r="U269" s="765">
        <v>0</v>
      </c>
      <c r="V269" s="91">
        <v>0</v>
      </c>
      <c r="W269" s="765">
        <v>0</v>
      </c>
      <c r="X269" s="765">
        <v>0</v>
      </c>
      <c r="Y269" s="77">
        <f>SUM(B269:X269)</f>
        <v>11</v>
      </c>
    </row>
    <row r="271" spans="1:43" ht="15.75" thickBot="1">
      <c r="A271" s="59" t="s">
        <v>563</v>
      </c>
    </row>
    <row r="272" spans="1:43" ht="15.75" thickBot="1">
      <c r="A272" s="326" t="s">
        <v>564</v>
      </c>
      <c r="B272" s="297">
        <f>B223</f>
        <v>95.307899999999989</v>
      </c>
      <c r="C272" s="599" t="s">
        <v>84</v>
      </c>
    </row>
    <row r="273" spans="1:43" ht="15.75" thickBot="1">
      <c r="A273" s="326" t="s">
        <v>565</v>
      </c>
      <c r="B273" s="297">
        <f>B252</f>
        <v>366.34247000000005</v>
      </c>
      <c r="C273" s="599" t="s">
        <v>84</v>
      </c>
    </row>
    <row r="274" spans="1:43" ht="15.75" thickBot="1">
      <c r="A274" s="326" t="s">
        <v>566</v>
      </c>
      <c r="B274" s="297">
        <f>Y277</f>
        <v>125.19999999999999</v>
      </c>
      <c r="C274" s="599" t="s">
        <v>84</v>
      </c>
    </row>
    <row r="276" spans="1:43" ht="15.75" thickBot="1">
      <c r="A276" s="59" t="s">
        <v>566</v>
      </c>
      <c r="J276" s="102"/>
    </row>
    <row r="277" spans="1:43" ht="15.75" thickBot="1">
      <c r="A277" s="764" t="str">
        <f>A274</f>
        <v>Ceiling Paiting</v>
      </c>
      <c r="B277" s="765">
        <v>8.4</v>
      </c>
      <c r="C277" s="765">
        <v>17.850000000000001</v>
      </c>
      <c r="D277" s="765">
        <v>9.32</v>
      </c>
      <c r="E277" s="765">
        <v>7.8</v>
      </c>
      <c r="F277" s="765">
        <v>8.0500000000000007</v>
      </c>
      <c r="G277" s="91">
        <v>7.75</v>
      </c>
      <c r="H277" s="765">
        <v>17.27</v>
      </c>
      <c r="I277" s="765">
        <v>20.38</v>
      </c>
      <c r="J277" s="91">
        <v>17.02</v>
      </c>
      <c r="K277" s="765">
        <v>4.8600000000000003</v>
      </c>
      <c r="L277" s="765">
        <v>6.5</v>
      </c>
      <c r="M277" s="91">
        <v>0</v>
      </c>
      <c r="N277" s="765">
        <v>0</v>
      </c>
      <c r="O277" s="765">
        <v>0</v>
      </c>
      <c r="P277" s="91">
        <v>0</v>
      </c>
      <c r="Q277" s="765">
        <v>0</v>
      </c>
      <c r="R277" s="765">
        <v>0</v>
      </c>
      <c r="S277" s="91">
        <v>0</v>
      </c>
      <c r="T277" s="765">
        <v>0</v>
      </c>
      <c r="U277" s="765">
        <v>0</v>
      </c>
      <c r="V277" s="91">
        <v>0</v>
      </c>
      <c r="W277" s="765">
        <v>0</v>
      </c>
      <c r="X277" s="765">
        <v>0</v>
      </c>
      <c r="Y277" s="77">
        <f>SUM(B277:X277)</f>
        <v>125.19999999999999</v>
      </c>
    </row>
    <row r="279" spans="1:43" ht="15.75" thickBot="1">
      <c r="A279" s="59" t="s">
        <v>567</v>
      </c>
    </row>
    <row r="280" spans="1:43" ht="13.5" thickBot="1">
      <c r="A280" s="298" t="s">
        <v>568</v>
      </c>
      <c r="B280" s="90">
        <f>F285</f>
        <v>52.14</v>
      </c>
      <c r="C280" s="600" t="s">
        <v>84</v>
      </c>
    </row>
    <row r="281" spans="1:43" s="56" customFormat="1" ht="15.75" thickBot="1">
      <c r="A281" s="299" t="s">
        <v>382</v>
      </c>
      <c r="B281" s="300" t="s">
        <v>569</v>
      </c>
      <c r="C281" s="300" t="s">
        <v>409</v>
      </c>
      <c r="D281" s="300" t="s">
        <v>570</v>
      </c>
      <c r="E281" s="300" t="s">
        <v>571</v>
      </c>
      <c r="F281" s="301" t="s">
        <v>572</v>
      </c>
      <c r="G281" s="10"/>
      <c r="H281" s="8"/>
      <c r="I281" s="8"/>
      <c r="J281" s="127"/>
      <c r="K281" s="127"/>
      <c r="L281" s="127"/>
      <c r="M281" s="127"/>
      <c r="N281" s="127"/>
      <c r="O281" s="127"/>
      <c r="P281" s="127"/>
      <c r="Q281" s="127"/>
      <c r="R281" s="127"/>
      <c r="S281" s="127"/>
      <c r="T281" s="127"/>
      <c r="U281" s="127"/>
      <c r="V281" s="127"/>
      <c r="W281" s="127"/>
      <c r="X281" s="127"/>
      <c r="Y281" s="127"/>
      <c r="Z281" s="127"/>
      <c r="AA281" s="127"/>
      <c r="AB281" s="127"/>
      <c r="AC281" s="127"/>
      <c r="AD281" s="127"/>
      <c r="AE281" s="127"/>
      <c r="AF281" s="127"/>
      <c r="AG281" s="276"/>
      <c r="AH281" s="127"/>
      <c r="AI281" s="127"/>
      <c r="AJ281" s="127"/>
      <c r="AK281" s="127"/>
      <c r="AL281" s="127"/>
      <c r="AM281" s="127"/>
      <c r="AN281" s="127"/>
      <c r="AO281" s="127"/>
      <c r="AP281" s="127"/>
      <c r="AQ281" s="276"/>
    </row>
    <row r="282" spans="1:43">
      <c r="A282" s="61"/>
      <c r="B282" s="61"/>
      <c r="C282" s="61"/>
      <c r="D282" s="61"/>
      <c r="E282" s="61"/>
      <c r="F282" s="61"/>
    </row>
    <row r="283" spans="1:43" ht="15">
      <c r="A283" s="68" t="s">
        <v>573</v>
      </c>
      <c r="B283" s="64" t="s">
        <v>574</v>
      </c>
      <c r="C283" s="78">
        <f>Q288</f>
        <v>52.14</v>
      </c>
      <c r="D283" s="78">
        <f>Q289</f>
        <v>0</v>
      </c>
      <c r="E283" s="78">
        <f>0.1*D283</f>
        <v>0</v>
      </c>
      <c r="F283" s="79">
        <f>E283+C283</f>
        <v>52.14</v>
      </c>
      <c r="G283" s="60"/>
    </row>
    <row r="284" spans="1:43" s="56" customFormat="1" ht="15.75" thickBot="1">
      <c r="A284" s="68"/>
      <c r="B284" s="64"/>
      <c r="C284" s="78"/>
      <c r="D284" s="78"/>
      <c r="E284" s="78"/>
      <c r="F284" s="79"/>
      <c r="G284" s="60"/>
      <c r="H284" s="8"/>
      <c r="I284" s="8"/>
      <c r="J284" s="127"/>
      <c r="K284" s="127"/>
      <c r="L284" s="127"/>
      <c r="M284" s="127"/>
      <c r="N284" s="127"/>
      <c r="O284" s="127"/>
      <c r="P284" s="127"/>
      <c r="Q284" s="127"/>
      <c r="R284" s="127"/>
      <c r="S284" s="127"/>
      <c r="T284" s="127"/>
      <c r="U284" s="127"/>
      <c r="V284" s="127"/>
      <c r="W284" s="127"/>
      <c r="X284" s="127"/>
      <c r="Y284" s="127"/>
      <c r="Z284" s="127"/>
      <c r="AA284" s="127"/>
      <c r="AB284" s="127"/>
      <c r="AC284" s="127"/>
      <c r="AD284" s="127"/>
      <c r="AE284" s="127"/>
      <c r="AF284" s="127"/>
      <c r="AG284" s="276"/>
      <c r="AH284" s="127"/>
      <c r="AI284" s="127"/>
      <c r="AJ284" s="127"/>
      <c r="AK284" s="127"/>
      <c r="AL284" s="127"/>
      <c r="AM284" s="127"/>
      <c r="AN284" s="127"/>
      <c r="AO284" s="127"/>
      <c r="AP284" s="127"/>
      <c r="AQ284" s="276"/>
    </row>
    <row r="285" spans="1:43" ht="13.5" thickBot="1">
      <c r="A285" s="964" t="s">
        <v>393</v>
      </c>
      <c r="B285" s="965"/>
      <c r="C285" s="965"/>
      <c r="D285" s="965"/>
      <c r="E285" s="966"/>
      <c r="F285" s="111">
        <f>SUM(F283:F284)</f>
        <v>52.14</v>
      </c>
    </row>
    <row r="287" spans="1:43" ht="15.75" thickBot="1">
      <c r="A287" s="59" t="s">
        <v>575</v>
      </c>
    </row>
    <row r="288" spans="1:43" ht="15">
      <c r="A288" s="764" t="s">
        <v>576</v>
      </c>
      <c r="B288" s="765">
        <v>17.850000000000001</v>
      </c>
      <c r="C288" s="765">
        <v>17.27</v>
      </c>
      <c r="D288" s="765">
        <v>17.02</v>
      </c>
      <c r="E288" s="765">
        <v>0</v>
      </c>
      <c r="F288" s="765">
        <v>0</v>
      </c>
      <c r="G288" s="765">
        <v>0</v>
      </c>
      <c r="H288" s="765">
        <v>0</v>
      </c>
      <c r="I288" s="765">
        <v>0</v>
      </c>
      <c r="J288" s="765">
        <v>0</v>
      </c>
      <c r="K288" s="765">
        <v>0</v>
      </c>
      <c r="L288" s="765">
        <v>0</v>
      </c>
      <c r="M288" s="765">
        <v>0</v>
      </c>
      <c r="N288" s="765">
        <v>0</v>
      </c>
      <c r="O288" s="765">
        <v>0</v>
      </c>
      <c r="P288" s="765">
        <v>0</v>
      </c>
      <c r="Q288" s="302">
        <f>SUM(B288:P288)</f>
        <v>52.14</v>
      </c>
    </row>
    <row r="289" spans="1:43" ht="15.75" thickBot="1">
      <c r="A289" s="764" t="s">
        <v>570</v>
      </c>
      <c r="B289" s="765">
        <v>0</v>
      </c>
      <c r="C289" s="765">
        <v>0</v>
      </c>
      <c r="D289" s="765">
        <v>0</v>
      </c>
      <c r="E289" s="765">
        <v>0</v>
      </c>
      <c r="F289" s="765">
        <v>0</v>
      </c>
      <c r="G289" s="765">
        <v>0</v>
      </c>
      <c r="H289" s="765">
        <v>0</v>
      </c>
      <c r="I289" s="765">
        <v>0</v>
      </c>
      <c r="J289" s="765">
        <v>0</v>
      </c>
      <c r="K289" s="765">
        <v>0</v>
      </c>
      <c r="L289" s="765">
        <v>0</v>
      </c>
      <c r="M289" s="765">
        <v>0</v>
      </c>
      <c r="N289" s="765">
        <v>0</v>
      </c>
      <c r="O289" s="765">
        <v>0</v>
      </c>
      <c r="P289" s="765">
        <v>0</v>
      </c>
      <c r="Q289" s="303">
        <f>SUM(B289:P289)</f>
        <v>0</v>
      </c>
    </row>
    <row r="290" spans="1:43" ht="13.5" thickBot="1"/>
    <row r="291" spans="1:43" ht="13.5" thickBot="1">
      <c r="A291" s="298" t="s">
        <v>623</v>
      </c>
      <c r="B291" s="90">
        <f>F296</f>
        <v>20.085000000000001</v>
      </c>
      <c r="C291" s="600" t="s">
        <v>84</v>
      </c>
    </row>
    <row r="292" spans="1:43" s="56" customFormat="1" ht="15.75" thickBot="1">
      <c r="A292" s="299" t="s">
        <v>382</v>
      </c>
      <c r="B292" s="300" t="s">
        <v>569</v>
      </c>
      <c r="C292" s="300" t="s">
        <v>409</v>
      </c>
      <c r="D292" s="300" t="s">
        <v>570</v>
      </c>
      <c r="E292" s="300" t="s">
        <v>571</v>
      </c>
      <c r="F292" s="301" t="s">
        <v>572</v>
      </c>
      <c r="G292" s="10"/>
      <c r="H292" s="8"/>
      <c r="I292" s="8"/>
      <c r="J292" s="127"/>
      <c r="K292" s="127"/>
      <c r="L292" s="127"/>
      <c r="M292" s="127"/>
      <c r="N292" s="127"/>
      <c r="O292" s="127"/>
      <c r="P292" s="127"/>
      <c r="Q292" s="127"/>
      <c r="R292" s="127"/>
      <c r="S292" s="127"/>
      <c r="T292" s="127"/>
      <c r="U292" s="127"/>
      <c r="V292" s="127"/>
      <c r="W292" s="127"/>
      <c r="X292" s="127"/>
      <c r="Y292" s="127"/>
      <c r="Z292" s="127"/>
      <c r="AA292" s="127"/>
      <c r="AB292" s="127"/>
      <c r="AC292" s="127"/>
      <c r="AD292" s="127"/>
      <c r="AE292" s="127"/>
      <c r="AF292" s="127"/>
      <c r="AG292" s="276"/>
      <c r="AH292" s="127"/>
      <c r="AI292" s="127"/>
      <c r="AJ292" s="127"/>
      <c r="AK292" s="127"/>
      <c r="AL292" s="127"/>
      <c r="AM292" s="127"/>
      <c r="AN292" s="127"/>
      <c r="AO292" s="127"/>
      <c r="AP292" s="127"/>
      <c r="AQ292" s="276"/>
    </row>
    <row r="293" spans="1:43">
      <c r="A293" s="61"/>
      <c r="B293" s="61"/>
      <c r="C293" s="61"/>
      <c r="D293" s="61"/>
      <c r="E293" s="61"/>
      <c r="F293" s="61"/>
    </row>
    <row r="294" spans="1:43" ht="15">
      <c r="A294" s="68" t="s">
        <v>573</v>
      </c>
      <c r="B294" s="64" t="s">
        <v>574</v>
      </c>
      <c r="C294" s="78">
        <f>Q299</f>
        <v>20.085000000000001</v>
      </c>
      <c r="D294" s="78">
        <f>Q300</f>
        <v>0</v>
      </c>
      <c r="E294" s="78">
        <f>0.1*D294</f>
        <v>0</v>
      </c>
      <c r="F294" s="79">
        <f>E294+C294</f>
        <v>20.085000000000001</v>
      </c>
      <c r="G294" s="60"/>
    </row>
    <row r="295" spans="1:43" s="56" customFormat="1" ht="15.75" thickBot="1">
      <c r="A295" s="68"/>
      <c r="B295" s="64"/>
      <c r="C295" s="78"/>
      <c r="D295" s="78"/>
      <c r="E295" s="78"/>
      <c r="F295" s="79"/>
      <c r="G295" s="60"/>
      <c r="H295" s="8"/>
      <c r="I295" s="8"/>
      <c r="J295" s="127"/>
      <c r="K295" s="127"/>
      <c r="L295" s="127"/>
      <c r="M295" s="127"/>
      <c r="N295" s="127"/>
      <c r="O295" s="127"/>
      <c r="P295" s="127"/>
      <c r="Q295" s="127"/>
      <c r="R295" s="127"/>
      <c r="S295" s="127"/>
      <c r="T295" s="127"/>
      <c r="U295" s="127"/>
      <c r="V295" s="127"/>
      <c r="W295" s="127"/>
      <c r="X295" s="127"/>
      <c r="Y295" s="127"/>
      <c r="Z295" s="127"/>
      <c r="AA295" s="127"/>
      <c r="AB295" s="127"/>
      <c r="AC295" s="127"/>
      <c r="AD295" s="127"/>
      <c r="AE295" s="127"/>
      <c r="AF295" s="127"/>
      <c r="AG295" s="276"/>
      <c r="AH295" s="127"/>
      <c r="AI295" s="127"/>
      <c r="AJ295" s="127"/>
      <c r="AK295" s="127"/>
      <c r="AL295" s="127"/>
      <c r="AM295" s="127"/>
      <c r="AN295" s="127"/>
      <c r="AO295" s="127"/>
      <c r="AP295" s="127"/>
      <c r="AQ295" s="276"/>
    </row>
    <row r="296" spans="1:43" ht="13.5" thickBot="1">
      <c r="A296" s="964" t="s">
        <v>393</v>
      </c>
      <c r="B296" s="965"/>
      <c r="C296" s="965"/>
      <c r="D296" s="965"/>
      <c r="E296" s="966"/>
      <c r="F296" s="111">
        <f>SUM(F294:F295)</f>
        <v>20.085000000000001</v>
      </c>
    </row>
    <row r="298" spans="1:43" ht="15.75" thickBot="1">
      <c r="A298" s="59" t="s">
        <v>575</v>
      </c>
    </row>
    <row r="299" spans="1:43" ht="15">
      <c r="A299" s="764" t="s">
        <v>576</v>
      </c>
      <c r="B299" s="765">
        <v>9.3149999999999995</v>
      </c>
      <c r="C299" s="765">
        <v>7.33</v>
      </c>
      <c r="D299" s="765">
        <v>3.44</v>
      </c>
      <c r="E299" s="765">
        <v>0</v>
      </c>
      <c r="F299" s="765">
        <v>0</v>
      </c>
      <c r="G299" s="765">
        <v>0</v>
      </c>
      <c r="H299" s="765">
        <v>0</v>
      </c>
      <c r="I299" s="765">
        <v>0</v>
      </c>
      <c r="J299" s="765">
        <v>0</v>
      </c>
      <c r="K299" s="765">
        <v>0</v>
      </c>
      <c r="L299" s="765">
        <v>0</v>
      </c>
      <c r="M299" s="765">
        <v>0</v>
      </c>
      <c r="N299" s="765">
        <v>0</v>
      </c>
      <c r="O299" s="765">
        <v>0</v>
      </c>
      <c r="P299" s="765">
        <v>0</v>
      </c>
      <c r="Q299" s="302">
        <f>SUM(B299:P299)</f>
        <v>20.085000000000001</v>
      </c>
    </row>
    <row r="300" spans="1:43" ht="15.75" thickBot="1">
      <c r="A300" s="764" t="s">
        <v>570</v>
      </c>
      <c r="B300" s="765">
        <v>0</v>
      </c>
      <c r="C300" s="765">
        <v>0</v>
      </c>
      <c r="D300" s="765">
        <v>0</v>
      </c>
      <c r="E300" s="765">
        <v>0</v>
      </c>
      <c r="F300" s="765">
        <v>0</v>
      </c>
      <c r="G300" s="765">
        <v>0</v>
      </c>
      <c r="H300" s="765">
        <v>0</v>
      </c>
      <c r="I300" s="765">
        <v>0</v>
      </c>
      <c r="J300" s="765">
        <v>0</v>
      </c>
      <c r="K300" s="765">
        <v>0</v>
      </c>
      <c r="L300" s="765">
        <v>0</v>
      </c>
      <c r="M300" s="765">
        <v>0</v>
      </c>
      <c r="N300" s="765">
        <v>0</v>
      </c>
      <c r="O300" s="765">
        <v>0</v>
      </c>
      <c r="P300" s="765">
        <v>0</v>
      </c>
      <c r="Q300" s="303">
        <f>SUM(B300:P300)</f>
        <v>0</v>
      </c>
    </row>
    <row r="302" spans="1:43" ht="13.5" thickBot="1"/>
    <row r="303" spans="1:43" ht="13.5" thickBot="1">
      <c r="A303" s="298" t="s">
        <v>577</v>
      </c>
      <c r="B303" s="90">
        <f>D308</f>
        <v>23.66</v>
      </c>
      <c r="C303" s="83" t="s">
        <v>84</v>
      </c>
    </row>
    <row r="304" spans="1:43" ht="13.5" thickBot="1">
      <c r="A304" s="283" t="s">
        <v>382</v>
      </c>
      <c r="B304" s="284" t="s">
        <v>569</v>
      </c>
      <c r="C304" s="284" t="s">
        <v>409</v>
      </c>
      <c r="D304" s="285" t="s">
        <v>572</v>
      </c>
      <c r="E304" s="10"/>
    </row>
    <row r="305" spans="1:43" ht="15">
      <c r="A305" s="84" t="s">
        <v>578</v>
      </c>
      <c r="B305" s="66" t="s">
        <v>579</v>
      </c>
      <c r="C305" s="82">
        <f>K311</f>
        <v>23.66</v>
      </c>
      <c r="D305" s="88">
        <f>C305</f>
        <v>23.66</v>
      </c>
      <c r="E305" s="60"/>
    </row>
    <row r="306" spans="1:43" ht="15">
      <c r="A306" s="68"/>
      <c r="B306" s="85"/>
      <c r="C306" s="78"/>
      <c r="D306" s="79"/>
      <c r="E306" s="60"/>
    </row>
    <row r="307" spans="1:43" ht="15.75" thickBot="1">
      <c r="A307" s="68"/>
      <c r="B307" s="85"/>
      <c r="C307" s="78"/>
      <c r="D307" s="79"/>
      <c r="E307" s="60"/>
    </row>
    <row r="308" spans="1:43" ht="13.5" thickBot="1">
      <c r="A308" s="967" t="s">
        <v>393</v>
      </c>
      <c r="B308" s="959"/>
      <c r="C308" s="960"/>
      <c r="D308" s="111">
        <f>SUM(D305:D307)</f>
        <v>23.66</v>
      </c>
    </row>
    <row r="309" spans="1:43" s="56" customFormat="1" ht="15">
      <c r="A309" s="8"/>
      <c r="B309" s="8"/>
      <c r="C309" s="8"/>
      <c r="D309" s="8"/>
      <c r="E309" s="8"/>
      <c r="F309" s="8"/>
      <c r="G309" s="8"/>
      <c r="H309" s="8"/>
      <c r="I309" s="8"/>
      <c r="AH309" s="127"/>
      <c r="AI309" s="127"/>
      <c r="AJ309" s="127"/>
      <c r="AK309" s="127"/>
      <c r="AL309" s="127"/>
      <c r="AM309" s="127"/>
      <c r="AN309" s="127"/>
      <c r="AO309" s="127"/>
      <c r="AP309" s="127"/>
      <c r="AQ309" s="276"/>
    </row>
    <row r="310" spans="1:43" ht="15.75" thickBot="1">
      <c r="A310" s="59" t="s">
        <v>575</v>
      </c>
    </row>
    <row r="311" spans="1:43" ht="15.75" thickBot="1">
      <c r="A311" s="764" t="s">
        <v>576</v>
      </c>
      <c r="B311" s="765">
        <v>8.1300000000000008</v>
      </c>
      <c r="C311" s="765">
        <v>7.78</v>
      </c>
      <c r="D311" s="765">
        <v>7.75</v>
      </c>
      <c r="E311" s="765">
        <v>0</v>
      </c>
      <c r="F311" s="765">
        <v>0</v>
      </c>
      <c r="G311" s="765">
        <v>0</v>
      </c>
      <c r="H311" s="765">
        <v>0</v>
      </c>
      <c r="I311" s="765">
        <v>0</v>
      </c>
      <c r="J311" s="765">
        <v>0</v>
      </c>
      <c r="K311" s="282">
        <f>SUM(B311:J311)</f>
        <v>23.66</v>
      </c>
      <c r="L311" s="278"/>
      <c r="M311" s="127"/>
      <c r="N311" s="127"/>
      <c r="O311" s="127"/>
      <c r="P311" s="127"/>
      <c r="Q311" s="127"/>
      <c r="R311" s="127"/>
      <c r="S311" s="127"/>
      <c r="T311" s="127"/>
      <c r="U311" s="127"/>
      <c r="V311" s="127"/>
      <c r="W311" s="127"/>
      <c r="X311" s="127"/>
      <c r="Y311" s="127"/>
      <c r="Z311" s="127"/>
      <c r="AA311" s="127"/>
      <c r="AB311" s="127"/>
      <c r="AC311" s="127"/>
      <c r="AD311" s="127"/>
      <c r="AE311" s="127"/>
      <c r="AF311" s="127"/>
    </row>
    <row r="313" spans="1:43" ht="13.5" thickBot="1"/>
    <row r="314" spans="1:43" ht="13.5" thickBot="1">
      <c r="A314" s="304" t="s">
        <v>580</v>
      </c>
      <c r="B314" s="86">
        <f>E320</f>
        <v>87.33</v>
      </c>
      <c r="C314" s="87" t="s">
        <v>84</v>
      </c>
    </row>
    <row r="315" spans="1:43" ht="13.5" thickBot="1">
      <c r="A315" s="283" t="s">
        <v>382</v>
      </c>
      <c r="B315" s="284" t="s">
        <v>569</v>
      </c>
      <c r="C315" s="305" t="s">
        <v>383</v>
      </c>
      <c r="D315" s="305" t="s">
        <v>385</v>
      </c>
      <c r="E315" s="285" t="s">
        <v>572</v>
      </c>
    </row>
    <row r="316" spans="1:43" ht="15">
      <c r="A316" s="84" t="s">
        <v>581</v>
      </c>
      <c r="B316" s="66" t="s">
        <v>582</v>
      </c>
      <c r="C316" s="82">
        <f>K323</f>
        <v>36.564</v>
      </c>
      <c r="D316" s="88">
        <v>2.5</v>
      </c>
      <c r="E316" s="88">
        <f>D316*C316</f>
        <v>91.41</v>
      </c>
    </row>
    <row r="317" spans="1:43" ht="15">
      <c r="A317" s="68"/>
      <c r="B317" s="85"/>
      <c r="C317" s="78"/>
      <c r="D317" s="79"/>
      <c r="E317" s="79"/>
    </row>
    <row r="318" spans="1:43" s="56" customFormat="1" ht="15">
      <c r="A318" s="279" t="s">
        <v>583</v>
      </c>
      <c r="B318" s="85"/>
      <c r="C318" s="78">
        <v>0</v>
      </c>
      <c r="D318" s="79">
        <v>0</v>
      </c>
      <c r="E318" s="79">
        <f>K324</f>
        <v>4.08</v>
      </c>
      <c r="F318" s="8"/>
      <c r="G318" s="8"/>
      <c r="H318" s="8"/>
      <c r="I318" s="8"/>
      <c r="AH318" s="127"/>
      <c r="AI318" s="127"/>
      <c r="AJ318" s="127"/>
      <c r="AK318" s="127"/>
      <c r="AL318" s="127"/>
      <c r="AM318" s="127"/>
      <c r="AN318" s="127"/>
      <c r="AO318" s="127"/>
      <c r="AP318" s="127"/>
      <c r="AQ318" s="276"/>
    </row>
    <row r="319" spans="1:43" ht="15.75" thickBot="1">
      <c r="A319" s="68"/>
      <c r="B319" s="85"/>
      <c r="C319" s="78"/>
      <c r="D319" s="79"/>
      <c r="E319" s="79"/>
    </row>
    <row r="320" spans="1:43" ht="13.5" thickBot="1">
      <c r="A320" s="967" t="s">
        <v>393</v>
      </c>
      <c r="B320" s="959"/>
      <c r="C320" s="959"/>
      <c r="D320" s="960"/>
      <c r="E320" s="111">
        <f>E316-E318</f>
        <v>87.33</v>
      </c>
    </row>
    <row r="322" spans="1:32" ht="15.75" thickBot="1">
      <c r="A322" s="59" t="s">
        <v>584</v>
      </c>
    </row>
    <row r="323" spans="1:32" ht="15.75" thickBot="1">
      <c r="A323" s="764" t="s">
        <v>383</v>
      </c>
      <c r="B323" s="765">
        <v>12.564</v>
      </c>
      <c r="C323" s="765">
        <v>12</v>
      </c>
      <c r="D323" s="765">
        <v>12</v>
      </c>
      <c r="E323" s="765">
        <v>0</v>
      </c>
      <c r="F323" s="765">
        <v>0</v>
      </c>
      <c r="G323" s="765">
        <v>0</v>
      </c>
      <c r="H323" s="765">
        <v>0</v>
      </c>
      <c r="I323" s="765">
        <v>0</v>
      </c>
      <c r="J323" s="765">
        <v>0</v>
      </c>
      <c r="K323" s="282">
        <f>SUM(B323:J323)</f>
        <v>36.564</v>
      </c>
      <c r="L323" s="278"/>
      <c r="M323" s="127"/>
      <c r="N323" s="127"/>
      <c r="O323" s="127"/>
      <c r="P323" s="127"/>
      <c r="Q323" s="127"/>
      <c r="R323" s="127"/>
      <c r="S323" s="127"/>
      <c r="T323" s="127"/>
      <c r="U323" s="127"/>
      <c r="V323" s="127"/>
      <c r="W323" s="127"/>
      <c r="X323" s="127"/>
      <c r="Y323" s="127"/>
      <c r="Z323" s="127"/>
      <c r="AA323" s="127"/>
      <c r="AB323" s="127"/>
      <c r="AC323" s="127"/>
      <c r="AD323" s="127"/>
      <c r="AE323" s="127"/>
      <c r="AF323" s="127"/>
    </row>
    <row r="324" spans="1:32" ht="15.75" thickBot="1">
      <c r="A324" s="764" t="s">
        <v>447</v>
      </c>
      <c r="B324" s="768">
        <v>1.36</v>
      </c>
      <c r="C324" s="768">
        <v>1.36</v>
      </c>
      <c r="D324" s="768">
        <v>1.36</v>
      </c>
      <c r="E324" s="768">
        <v>0</v>
      </c>
      <c r="F324" s="768">
        <v>0</v>
      </c>
      <c r="G324" s="768">
        <v>0</v>
      </c>
      <c r="H324" s="768">
        <v>0</v>
      </c>
      <c r="I324" s="768">
        <v>0</v>
      </c>
      <c r="J324" s="765">
        <v>0</v>
      </c>
      <c r="K324" s="282">
        <f>SUM(B324:J324)</f>
        <v>4.08</v>
      </c>
      <c r="L324" s="278"/>
      <c r="M324" s="127"/>
      <c r="N324" s="127"/>
      <c r="O324" s="127"/>
      <c r="P324" s="127"/>
      <c r="Q324" s="127"/>
      <c r="R324" s="127"/>
      <c r="S324" s="127"/>
      <c r="T324" s="127"/>
      <c r="U324" s="127"/>
      <c r="V324" s="127"/>
      <c r="W324" s="127"/>
      <c r="X324" s="127"/>
      <c r="Y324" s="127"/>
      <c r="Z324" s="127"/>
      <c r="AA324" s="127"/>
      <c r="AB324" s="127"/>
      <c r="AC324" s="127"/>
      <c r="AD324" s="127"/>
      <c r="AE324" s="127"/>
      <c r="AF324" s="127"/>
    </row>
    <row r="326" spans="1:32" ht="13.5" thickBot="1"/>
    <row r="327" spans="1:32" ht="13.5" thickBot="1">
      <c r="A327" s="304" t="s">
        <v>585</v>
      </c>
      <c r="B327" s="325">
        <f>E333</f>
        <v>9.8604000000000003</v>
      </c>
      <c r="C327" s="87" t="s">
        <v>84</v>
      </c>
    </row>
    <row r="328" spans="1:32" ht="13.5" thickBot="1">
      <c r="A328" s="283" t="s">
        <v>382</v>
      </c>
      <c r="B328" s="305" t="s">
        <v>291</v>
      </c>
      <c r="C328" s="305" t="s">
        <v>383</v>
      </c>
      <c r="D328" s="305" t="s">
        <v>385</v>
      </c>
      <c r="E328" s="285" t="s">
        <v>572</v>
      </c>
    </row>
    <row r="329" spans="1:32" ht="15">
      <c r="A329" s="84" t="s">
        <v>586</v>
      </c>
      <c r="B329" s="66">
        <v>1</v>
      </c>
      <c r="C329" s="82">
        <v>2.75</v>
      </c>
      <c r="D329" s="601">
        <v>2</v>
      </c>
      <c r="E329" s="88">
        <f>B329*C329*D329</f>
        <v>5.5</v>
      </c>
    </row>
    <row r="330" spans="1:32" ht="15">
      <c r="A330" s="68" t="s">
        <v>587</v>
      </c>
      <c r="B330" s="85">
        <v>20</v>
      </c>
      <c r="C330" s="78">
        <v>0.98799999999999999</v>
      </c>
      <c r="D330" s="602">
        <v>0.16500000000000001</v>
      </c>
      <c r="E330" s="79">
        <f>D330*C330*B330</f>
        <v>3.2603999999999997</v>
      </c>
    </row>
    <row r="331" spans="1:32" ht="15">
      <c r="A331" s="68" t="s">
        <v>588</v>
      </c>
      <c r="B331" s="85">
        <v>1</v>
      </c>
      <c r="C331" s="78">
        <f>K336</f>
        <v>11</v>
      </c>
      <c r="D331" s="602">
        <v>0.1</v>
      </c>
      <c r="E331" s="79">
        <f>D331*C331*B331</f>
        <v>1.1000000000000001</v>
      </c>
    </row>
    <row r="332" spans="1:32" ht="15.75" thickBot="1">
      <c r="A332" s="68"/>
      <c r="B332" s="85"/>
      <c r="C332" s="78"/>
      <c r="D332" s="79"/>
      <c r="E332" s="79"/>
    </row>
    <row r="333" spans="1:32" ht="13.5" thickBot="1">
      <c r="A333" s="967" t="s">
        <v>393</v>
      </c>
      <c r="B333" s="959"/>
      <c r="C333" s="959"/>
      <c r="D333" s="960"/>
      <c r="E333" s="111">
        <f>SUM(E329:E332)</f>
        <v>9.8604000000000003</v>
      </c>
    </row>
    <row r="335" spans="1:32" ht="15.75" thickBot="1">
      <c r="A335" s="59" t="s">
        <v>113</v>
      </c>
    </row>
    <row r="336" spans="1:32" ht="15.75" thickBot="1">
      <c r="A336" s="769" t="s">
        <v>588</v>
      </c>
      <c r="B336" s="765">
        <v>4.2</v>
      </c>
      <c r="C336" s="765">
        <v>4.2</v>
      </c>
      <c r="D336" s="765">
        <v>2.6</v>
      </c>
      <c r="E336" s="765">
        <v>0</v>
      </c>
      <c r="F336" s="765">
        <v>0</v>
      </c>
      <c r="G336" s="765">
        <v>0</v>
      </c>
      <c r="H336" s="765">
        <v>0</v>
      </c>
      <c r="I336" s="765">
        <v>0</v>
      </c>
      <c r="J336" s="765">
        <v>0</v>
      </c>
      <c r="K336" s="282">
        <f>SUM(B336:J336)</f>
        <v>11</v>
      </c>
      <c r="L336" s="278"/>
      <c r="M336" s="127"/>
      <c r="N336" s="127"/>
      <c r="O336" s="127"/>
      <c r="P336" s="127"/>
      <c r="Q336" s="127"/>
      <c r="R336" s="127"/>
      <c r="S336" s="127"/>
      <c r="T336" s="127"/>
      <c r="U336" s="127"/>
      <c r="V336" s="127"/>
      <c r="W336" s="127"/>
      <c r="X336" s="127"/>
      <c r="Y336" s="127"/>
      <c r="Z336" s="127"/>
      <c r="AA336" s="127"/>
      <c r="AB336" s="127"/>
      <c r="AC336" s="127"/>
      <c r="AD336" s="127"/>
      <c r="AE336" s="127"/>
      <c r="AF336" s="127"/>
    </row>
    <row r="337" spans="1:43" ht="15.75" customHeight="1" thickBot="1"/>
    <row r="338" spans="1:43" ht="13.5" thickBot="1">
      <c r="A338" s="304" t="s">
        <v>589</v>
      </c>
      <c r="B338" s="325">
        <v>4.2</v>
      </c>
      <c r="C338" s="87" t="s">
        <v>84</v>
      </c>
    </row>
    <row r="339" spans="1:43" ht="13.5" thickBot="1">
      <c r="A339" s="283" t="s">
        <v>382</v>
      </c>
      <c r="B339" s="305" t="s">
        <v>291</v>
      </c>
      <c r="C339" s="305" t="s">
        <v>383</v>
      </c>
      <c r="D339" s="305" t="s">
        <v>385</v>
      </c>
      <c r="E339" s="285" t="s">
        <v>572</v>
      </c>
    </row>
    <row r="340" spans="1:43" ht="15">
      <c r="A340" s="84" t="s">
        <v>590</v>
      </c>
      <c r="B340" s="66">
        <v>0</v>
      </c>
      <c r="C340" s="82">
        <v>0</v>
      </c>
      <c r="D340" s="88">
        <v>0</v>
      </c>
      <c r="E340" s="79">
        <f>D340*C340*B340</f>
        <v>0</v>
      </c>
    </row>
    <row r="341" spans="1:43" ht="15">
      <c r="A341" s="68" t="s">
        <v>591</v>
      </c>
      <c r="B341" s="85">
        <v>0</v>
      </c>
      <c r="C341" s="78">
        <v>0</v>
      </c>
      <c r="D341" s="79">
        <v>0</v>
      </c>
      <c r="E341" s="79">
        <f>D341*C341*B341</f>
        <v>0</v>
      </c>
    </row>
    <row r="342" spans="1:43" ht="15">
      <c r="A342" s="68" t="s">
        <v>592</v>
      </c>
      <c r="B342" s="85">
        <v>0</v>
      </c>
      <c r="C342" s="78">
        <v>0</v>
      </c>
      <c r="D342" s="79">
        <v>0</v>
      </c>
      <c r="E342" s="79">
        <f>D342*C342*B342</f>
        <v>0</v>
      </c>
    </row>
    <row r="343" spans="1:43" ht="15.75" thickBot="1">
      <c r="A343" s="68"/>
      <c r="B343" s="85">
        <v>0</v>
      </c>
      <c r="C343" s="78"/>
      <c r="D343" s="79"/>
      <c r="E343" s="79"/>
    </row>
    <row r="344" spans="1:43" ht="13.5" thickBot="1">
      <c r="A344" s="967" t="s">
        <v>393</v>
      </c>
      <c r="B344" s="959"/>
      <c r="C344" s="959"/>
      <c r="D344" s="960"/>
      <c r="E344" s="111">
        <f>SUM(E340:E343)</f>
        <v>0</v>
      </c>
    </row>
    <row r="346" spans="1:43" s="56" customFormat="1" ht="15.75" thickBot="1">
      <c r="A346" s="59" t="s">
        <v>593</v>
      </c>
      <c r="B346" s="8"/>
      <c r="C346" s="8"/>
      <c r="D346" s="8"/>
      <c r="E346" s="8"/>
      <c r="F346" s="8"/>
      <c r="G346" s="8"/>
      <c r="H346" s="8"/>
      <c r="I346" s="8"/>
      <c r="J346" s="127"/>
      <c r="K346" s="127"/>
      <c r="L346" s="127"/>
      <c r="M346" s="127"/>
      <c r="N346" s="127"/>
      <c r="O346" s="127"/>
      <c r="P346" s="127"/>
      <c r="Q346" s="127"/>
      <c r="R346" s="127"/>
      <c r="S346" s="127"/>
      <c r="T346" s="127"/>
      <c r="U346" s="127"/>
      <c r="V346" s="127"/>
      <c r="W346" s="127"/>
      <c r="X346" s="127"/>
      <c r="Y346" s="127"/>
      <c r="Z346" s="127"/>
      <c r="AA346" s="127"/>
      <c r="AB346" s="127"/>
      <c r="AC346" s="127"/>
      <c r="AD346" s="127"/>
      <c r="AE346" s="127"/>
      <c r="AF346" s="276"/>
      <c r="AG346" s="127"/>
      <c r="AH346" s="127"/>
      <c r="AI346" s="127"/>
      <c r="AJ346" s="127"/>
      <c r="AK346" s="127"/>
      <c r="AL346" s="127"/>
      <c r="AM346" s="127"/>
      <c r="AN346" s="127"/>
      <c r="AO346" s="127"/>
      <c r="AP346" s="127"/>
      <c r="AQ346" s="276"/>
    </row>
    <row r="347" spans="1:43" s="56" customFormat="1" ht="15.75" thickBot="1">
      <c r="A347" s="764" t="s">
        <v>594</v>
      </c>
      <c r="B347" s="767">
        <f>K350</f>
        <v>23.66</v>
      </c>
      <c r="C347" s="282" t="s">
        <v>84</v>
      </c>
      <c r="D347" s="275" t="s">
        <v>595</v>
      </c>
      <c r="E347" s="127"/>
      <c r="F347" s="127"/>
      <c r="G347" s="276"/>
      <c r="H347" s="127"/>
      <c r="I347" s="127"/>
      <c r="J347" s="281"/>
      <c r="K347" s="281"/>
      <c r="L347" s="281"/>
      <c r="M347" s="281"/>
      <c r="N347" s="281"/>
      <c r="O347" s="281"/>
      <c r="P347" s="281"/>
      <c r="Q347" s="281"/>
      <c r="R347" s="281"/>
      <c r="S347" s="281"/>
      <c r="T347" s="281"/>
      <c r="U347" s="281"/>
      <c r="V347" s="281"/>
      <c r="W347" s="281"/>
      <c r="X347" s="281"/>
      <c r="Y347" s="281"/>
      <c r="Z347" s="281"/>
      <c r="AA347" s="281"/>
      <c r="AB347" s="281"/>
      <c r="AC347" s="281"/>
      <c r="AD347" s="281"/>
      <c r="AE347" s="281"/>
      <c r="AF347" s="276"/>
      <c r="AG347" s="127"/>
      <c r="AH347" s="127"/>
      <c r="AI347" s="127"/>
      <c r="AJ347" s="127"/>
      <c r="AK347" s="127"/>
      <c r="AL347" s="127"/>
      <c r="AM347" s="127"/>
      <c r="AN347" s="127"/>
      <c r="AO347" s="127"/>
      <c r="AP347" s="127"/>
      <c r="AQ347" s="276"/>
    </row>
    <row r="348" spans="1:43" s="56" customFormat="1" ht="15">
      <c r="A348" s="8"/>
      <c r="B348" s="8"/>
      <c r="C348" s="8"/>
      <c r="D348" s="8"/>
      <c r="E348" s="8"/>
      <c r="F348" s="8"/>
      <c r="G348" s="8"/>
      <c r="H348" s="8"/>
      <c r="I348" s="8"/>
      <c r="J348" s="127"/>
      <c r="K348" s="127"/>
      <c r="L348" s="127"/>
      <c r="M348" s="127"/>
      <c r="N348" s="127"/>
      <c r="O348" s="127"/>
      <c r="P348" s="127"/>
      <c r="Q348" s="127"/>
      <c r="R348" s="127"/>
      <c r="S348" s="127"/>
      <c r="T348" s="127"/>
      <c r="U348" s="127"/>
      <c r="V348" s="127"/>
      <c r="W348" s="127"/>
      <c r="X348" s="127"/>
      <c r="Y348" s="127"/>
      <c r="Z348" s="127"/>
      <c r="AA348" s="127"/>
      <c r="AB348" s="127"/>
      <c r="AC348" s="127"/>
      <c r="AD348" s="127"/>
      <c r="AE348" s="127"/>
      <c r="AF348" s="276"/>
      <c r="AG348" s="127"/>
      <c r="AH348" s="127"/>
      <c r="AI348" s="127"/>
      <c r="AJ348" s="127"/>
      <c r="AK348" s="127"/>
      <c r="AL348" s="127"/>
      <c r="AM348" s="127"/>
      <c r="AN348" s="127"/>
      <c r="AO348" s="127"/>
      <c r="AP348" s="127"/>
      <c r="AQ348" s="276"/>
    </row>
    <row r="349" spans="1:43" ht="15.75" thickBot="1">
      <c r="A349" s="59" t="s">
        <v>409</v>
      </c>
    </row>
    <row r="350" spans="1:43" ht="15.75" thickBot="1">
      <c r="A350" s="764" t="str">
        <f>A347</f>
        <v>Gypsum ceiling</v>
      </c>
      <c r="B350" s="765">
        <v>8.1300000000000008</v>
      </c>
      <c r="C350" s="765">
        <v>7.78</v>
      </c>
      <c r="D350" s="765">
        <v>7.75</v>
      </c>
      <c r="E350" s="765">
        <v>0</v>
      </c>
      <c r="F350" s="765">
        <v>0</v>
      </c>
      <c r="G350" s="91">
        <v>0</v>
      </c>
      <c r="H350" s="765">
        <v>0</v>
      </c>
      <c r="I350" s="765">
        <v>0</v>
      </c>
      <c r="J350" s="765">
        <v>0</v>
      </c>
      <c r="K350" s="282">
        <f>SUM(B350:J350)</f>
        <v>23.66</v>
      </c>
      <c r="L350" s="306"/>
      <c r="Y350" s="102"/>
    </row>
    <row r="352" spans="1:43" ht="13.5" thickBot="1"/>
    <row r="353" spans="1:43" ht="13.5" thickBot="1">
      <c r="A353" s="304" t="s">
        <v>596</v>
      </c>
      <c r="B353" s="86"/>
      <c r="C353" s="87"/>
    </row>
    <row r="354" spans="1:43" ht="13.5" thickBot="1">
      <c r="A354" s="283" t="s">
        <v>382</v>
      </c>
      <c r="B354" s="305" t="s">
        <v>624</v>
      </c>
      <c r="C354" s="305" t="s">
        <v>625</v>
      </c>
      <c r="D354" s="305" t="s">
        <v>626</v>
      </c>
      <c r="E354" s="308" t="s">
        <v>572</v>
      </c>
      <c r="F354" s="604"/>
      <c r="G354" s="18"/>
      <c r="H354" s="18"/>
      <c r="I354" s="18"/>
      <c r="J354" s="18"/>
    </row>
    <row r="355" spans="1:43" s="56" customFormat="1" ht="15">
      <c r="A355" s="84"/>
      <c r="B355" s="66"/>
      <c r="C355" s="82"/>
      <c r="D355" s="82"/>
      <c r="E355" s="82"/>
      <c r="F355" s="74"/>
      <c r="G355" s="75"/>
      <c r="H355" s="75"/>
      <c r="I355" s="75"/>
      <c r="J355" s="75"/>
      <c r="K355" s="127"/>
      <c r="L355" s="127"/>
      <c r="M355" s="127"/>
      <c r="N355" s="127"/>
      <c r="O355" s="127"/>
      <c r="P355" s="127"/>
      <c r="Q355" s="127"/>
      <c r="R355" s="127"/>
      <c r="S355" s="127"/>
      <c r="T355" s="127"/>
      <c r="U355" s="127"/>
      <c r="V355" s="127"/>
      <c r="W355" s="127"/>
      <c r="X355" s="127"/>
      <c r="Y355" s="127"/>
      <c r="Z355" s="127"/>
      <c r="AA355" s="127"/>
      <c r="AB355" s="127"/>
      <c r="AC355" s="127"/>
      <c r="AD355" s="127"/>
      <c r="AE355" s="127"/>
      <c r="AF355" s="127"/>
      <c r="AG355" s="276"/>
      <c r="AH355" s="127"/>
      <c r="AI355" s="127"/>
      <c r="AJ355" s="127"/>
      <c r="AK355" s="127"/>
      <c r="AL355" s="127"/>
      <c r="AM355" s="127"/>
      <c r="AN355" s="127"/>
      <c r="AO355" s="127"/>
      <c r="AP355" s="127"/>
      <c r="AQ355" s="276"/>
    </row>
    <row r="356" spans="1:43">
      <c r="A356" s="68" t="s">
        <v>599</v>
      </c>
      <c r="B356" s="309">
        <v>1</v>
      </c>
      <c r="C356" s="309">
        <v>1</v>
      </c>
      <c r="D356" s="309">
        <v>1</v>
      </c>
      <c r="E356" s="324">
        <f>B356+C356+D356</f>
        <v>3</v>
      </c>
      <c r="F356" s="603"/>
      <c r="G356" s="307"/>
      <c r="H356" s="307"/>
      <c r="I356" s="307"/>
      <c r="J356" s="307"/>
    </row>
    <row r="357" spans="1:43">
      <c r="A357" s="68" t="s">
        <v>601</v>
      </c>
      <c r="B357" s="309">
        <v>1</v>
      </c>
      <c r="C357" s="309">
        <v>1</v>
      </c>
      <c r="D357" s="309">
        <v>1</v>
      </c>
      <c r="E357" s="324">
        <f t="shared" ref="E357:E367" si="32">B357+C357+D357</f>
        <v>3</v>
      </c>
      <c r="F357" s="603"/>
      <c r="G357" s="307"/>
      <c r="H357" s="307"/>
      <c r="I357" s="307"/>
      <c r="J357" s="307"/>
    </row>
    <row r="358" spans="1:43" s="56" customFormat="1" ht="15">
      <c r="A358" s="68" t="s">
        <v>602</v>
      </c>
      <c r="B358" s="309">
        <v>1</v>
      </c>
      <c r="C358" s="309">
        <v>1</v>
      </c>
      <c r="D358" s="309">
        <v>1</v>
      </c>
      <c r="E358" s="324">
        <f t="shared" si="32"/>
        <v>3</v>
      </c>
      <c r="F358" s="603"/>
      <c r="G358" s="307"/>
      <c r="H358" s="307"/>
      <c r="I358" s="307"/>
      <c r="J358" s="307"/>
      <c r="K358" s="127"/>
      <c r="L358" s="127"/>
      <c r="M358" s="127"/>
      <c r="N358" s="127"/>
      <c r="O358" s="127"/>
      <c r="P358" s="127"/>
      <c r="Q358" s="127"/>
      <c r="R358" s="127"/>
      <c r="S358" s="127"/>
      <c r="T358" s="127"/>
      <c r="U358" s="127"/>
      <c r="V358" s="127"/>
      <c r="W358" s="127"/>
      <c r="X358" s="127"/>
      <c r="Y358" s="127"/>
      <c r="Z358" s="127"/>
      <c r="AA358" s="127"/>
      <c r="AB358" s="127"/>
      <c r="AC358" s="127"/>
      <c r="AD358" s="127"/>
      <c r="AE358" s="127"/>
      <c r="AF358" s="127"/>
      <c r="AG358" s="276"/>
      <c r="AH358" s="127"/>
      <c r="AI358" s="127"/>
      <c r="AJ358" s="127"/>
      <c r="AK358" s="127"/>
      <c r="AL358" s="127"/>
      <c r="AM358" s="127"/>
      <c r="AN358" s="127"/>
      <c r="AO358" s="127"/>
      <c r="AP358" s="127"/>
      <c r="AQ358" s="276"/>
    </row>
    <row r="359" spans="1:43">
      <c r="A359" s="68" t="s">
        <v>603</v>
      </c>
      <c r="B359" s="309">
        <v>1</v>
      </c>
      <c r="C359" s="309">
        <v>1</v>
      </c>
      <c r="D359" s="309">
        <v>1</v>
      </c>
      <c r="E359" s="324">
        <f t="shared" si="32"/>
        <v>3</v>
      </c>
      <c r="F359" s="603"/>
      <c r="G359" s="307"/>
      <c r="H359" s="307"/>
      <c r="I359" s="307"/>
      <c r="J359" s="307"/>
    </row>
    <row r="360" spans="1:43">
      <c r="A360" s="68" t="s">
        <v>604</v>
      </c>
      <c r="B360" s="309">
        <v>1</v>
      </c>
      <c r="C360" s="309">
        <v>1</v>
      </c>
      <c r="D360" s="309">
        <v>1</v>
      </c>
      <c r="E360" s="324">
        <f t="shared" si="32"/>
        <v>3</v>
      </c>
      <c r="F360" s="603"/>
      <c r="G360" s="307"/>
      <c r="H360" s="307"/>
      <c r="I360" s="307"/>
      <c r="J360" s="307"/>
    </row>
    <row r="361" spans="1:43">
      <c r="A361" s="68" t="s">
        <v>606</v>
      </c>
      <c r="B361" s="309">
        <v>3</v>
      </c>
      <c r="C361" s="309">
        <v>3</v>
      </c>
      <c r="D361" s="309">
        <v>3</v>
      </c>
      <c r="E361" s="324">
        <f t="shared" si="32"/>
        <v>9</v>
      </c>
      <c r="F361" s="603"/>
      <c r="G361" s="307"/>
      <c r="H361" s="307"/>
      <c r="I361" s="307"/>
      <c r="J361" s="307"/>
    </row>
    <row r="362" spans="1:43">
      <c r="A362" s="68" t="s">
        <v>607</v>
      </c>
      <c r="B362" s="309">
        <v>1</v>
      </c>
      <c r="C362" s="309">
        <v>1</v>
      </c>
      <c r="D362" s="309">
        <v>1</v>
      </c>
      <c r="E362" s="324">
        <f t="shared" si="32"/>
        <v>3</v>
      </c>
      <c r="F362" s="603"/>
      <c r="G362" s="307"/>
      <c r="H362" s="307"/>
      <c r="I362" s="307"/>
      <c r="J362" s="307"/>
    </row>
    <row r="363" spans="1:43">
      <c r="A363" s="68" t="s">
        <v>608</v>
      </c>
      <c r="B363" s="309">
        <v>1</v>
      </c>
      <c r="C363" s="309">
        <v>1</v>
      </c>
      <c r="D363" s="309">
        <v>1</v>
      </c>
      <c r="E363" s="324">
        <f t="shared" si="32"/>
        <v>3</v>
      </c>
      <c r="F363" s="603"/>
      <c r="G363" s="307"/>
      <c r="H363" s="307"/>
      <c r="I363" s="307"/>
      <c r="J363" s="307"/>
    </row>
    <row r="364" spans="1:43">
      <c r="A364" s="68" t="s">
        <v>609</v>
      </c>
      <c r="B364" s="309">
        <v>1</v>
      </c>
      <c r="C364" s="309">
        <v>1</v>
      </c>
      <c r="D364" s="309">
        <v>1</v>
      </c>
      <c r="E364" s="324">
        <f t="shared" si="32"/>
        <v>3</v>
      </c>
      <c r="F364" s="603"/>
      <c r="G364" s="307"/>
      <c r="H364" s="307"/>
      <c r="I364" s="307"/>
      <c r="J364" s="307"/>
    </row>
    <row r="365" spans="1:43">
      <c r="A365" s="68" t="s">
        <v>610</v>
      </c>
      <c r="B365" s="309">
        <v>1</v>
      </c>
      <c r="C365" s="309">
        <v>1</v>
      </c>
      <c r="D365" s="309">
        <v>1</v>
      </c>
      <c r="E365" s="324">
        <f t="shared" si="32"/>
        <v>3</v>
      </c>
      <c r="F365" s="603"/>
      <c r="G365" s="307"/>
      <c r="H365" s="307"/>
      <c r="I365" s="307"/>
      <c r="J365" s="307"/>
    </row>
    <row r="366" spans="1:43">
      <c r="A366" s="68" t="s">
        <v>611</v>
      </c>
      <c r="B366" s="309">
        <v>1</v>
      </c>
      <c r="C366" s="309">
        <v>1</v>
      </c>
      <c r="D366" s="309">
        <v>1</v>
      </c>
      <c r="E366" s="324">
        <f t="shared" si="32"/>
        <v>3</v>
      </c>
      <c r="F366" s="603"/>
      <c r="G366" s="307"/>
      <c r="H366" s="307"/>
      <c r="I366" s="307"/>
      <c r="J366" s="307"/>
    </row>
    <row r="367" spans="1:43">
      <c r="A367" s="68" t="s">
        <v>627</v>
      </c>
      <c r="B367" s="309">
        <v>1</v>
      </c>
      <c r="C367" s="309">
        <v>1</v>
      </c>
      <c r="D367" s="309">
        <v>1</v>
      </c>
      <c r="E367" s="324">
        <f t="shared" si="32"/>
        <v>3</v>
      </c>
      <c r="F367" s="603"/>
      <c r="G367" s="307"/>
      <c r="H367" s="307"/>
      <c r="I367" s="307"/>
      <c r="J367" s="307"/>
    </row>
    <row r="368" spans="1:43" ht="13.5" thickBot="1">
      <c r="A368" s="71"/>
      <c r="B368" s="89"/>
      <c r="C368" s="80"/>
      <c r="D368" s="80"/>
      <c r="E368" s="80"/>
      <c r="F368" s="74"/>
      <c r="G368" s="75"/>
      <c r="H368" s="75"/>
      <c r="I368" s="75"/>
      <c r="J368" s="75"/>
    </row>
    <row r="371" spans="1:43" s="56" customFormat="1" ht="15.75" thickBot="1">
      <c r="A371" s="59" t="s">
        <v>612</v>
      </c>
      <c r="B371" s="8"/>
      <c r="C371" s="8"/>
      <c r="D371" s="8"/>
      <c r="E371" s="8"/>
      <c r="F371" s="8"/>
      <c r="G371" s="8"/>
      <c r="H371" s="8"/>
      <c r="I371" s="8"/>
      <c r="J371" s="127"/>
      <c r="K371" s="127"/>
      <c r="L371" s="127"/>
      <c r="M371" s="127"/>
      <c r="N371" s="127"/>
      <c r="O371" s="127"/>
      <c r="P371" s="127"/>
      <c r="Q371" s="127"/>
      <c r="R371" s="127"/>
      <c r="S371" s="127"/>
      <c r="T371" s="127"/>
      <c r="U371" s="127"/>
      <c r="V371" s="127"/>
      <c r="W371" s="127"/>
      <c r="X371" s="127"/>
      <c r="Y371" s="127"/>
      <c r="Z371" s="127"/>
      <c r="AA371" s="127"/>
      <c r="AB371" s="127"/>
      <c r="AC371" s="127"/>
      <c r="AD371" s="127"/>
      <c r="AE371" s="127"/>
      <c r="AF371" s="276"/>
      <c r="AG371" s="127"/>
      <c r="AH371" s="127"/>
      <c r="AI371" s="127"/>
      <c r="AJ371" s="127"/>
      <c r="AK371" s="127"/>
      <c r="AL371" s="127"/>
      <c r="AM371" s="127"/>
      <c r="AN371" s="127"/>
      <c r="AO371" s="127"/>
      <c r="AP371" s="127"/>
      <c r="AQ371" s="276"/>
    </row>
    <row r="372" spans="1:43" s="56" customFormat="1" ht="15.75" thickBot="1">
      <c r="A372" s="769" t="s">
        <v>613</v>
      </c>
      <c r="B372" s="767">
        <f>K375</f>
        <v>14.733000000000001</v>
      </c>
      <c r="C372" s="282" t="s">
        <v>614</v>
      </c>
      <c r="D372" s="275"/>
      <c r="E372" s="127"/>
      <c r="F372" s="127"/>
      <c r="G372" s="276"/>
      <c r="H372" s="127"/>
      <c r="I372" s="127"/>
      <c r="J372" s="281"/>
      <c r="K372" s="281"/>
      <c r="L372" s="281"/>
      <c r="M372" s="281"/>
      <c r="N372" s="281"/>
      <c r="O372" s="281"/>
      <c r="P372" s="281"/>
      <c r="Q372" s="281"/>
      <c r="R372" s="281"/>
      <c r="S372" s="281"/>
      <c r="T372" s="281"/>
      <c r="U372" s="281"/>
      <c r="V372" s="281"/>
      <c r="W372" s="281"/>
      <c r="X372" s="281"/>
      <c r="Y372" s="281"/>
      <c r="Z372" s="281"/>
      <c r="AA372" s="281"/>
      <c r="AB372" s="281"/>
      <c r="AC372" s="281"/>
      <c r="AD372" s="281"/>
      <c r="AE372" s="281"/>
      <c r="AF372" s="276"/>
      <c r="AG372" s="127"/>
      <c r="AH372" s="127"/>
      <c r="AI372" s="127"/>
      <c r="AJ372" s="127"/>
      <c r="AK372" s="127"/>
      <c r="AL372" s="127"/>
      <c r="AM372" s="127"/>
      <c r="AN372" s="127"/>
      <c r="AO372" s="127"/>
      <c r="AP372" s="127"/>
      <c r="AQ372" s="276"/>
    </row>
    <row r="373" spans="1:43" s="56" customFormat="1" ht="15">
      <c r="A373" s="8"/>
      <c r="B373" s="8"/>
      <c r="C373" s="8"/>
      <c r="D373" s="8"/>
      <c r="E373" s="8"/>
      <c r="F373" s="8"/>
      <c r="G373" s="8"/>
      <c r="H373" s="8"/>
      <c r="I373" s="8"/>
      <c r="J373" s="127"/>
      <c r="K373" s="127"/>
      <c r="L373" s="127"/>
      <c r="M373" s="127"/>
      <c r="N373" s="127"/>
      <c r="O373" s="127"/>
      <c r="P373" s="127"/>
      <c r="Q373" s="127"/>
      <c r="R373" s="127"/>
      <c r="S373" s="127"/>
      <c r="T373" s="127"/>
      <c r="U373" s="127"/>
      <c r="V373" s="127"/>
      <c r="W373" s="127"/>
      <c r="X373" s="127"/>
      <c r="Y373" s="127"/>
      <c r="Z373" s="127"/>
      <c r="AA373" s="127"/>
      <c r="AB373" s="127"/>
      <c r="AC373" s="127"/>
      <c r="AD373" s="127"/>
      <c r="AE373" s="127"/>
      <c r="AF373" s="276"/>
      <c r="AG373" s="127"/>
      <c r="AH373" s="127"/>
      <c r="AI373" s="127"/>
      <c r="AJ373" s="127"/>
      <c r="AK373" s="127"/>
      <c r="AL373" s="127"/>
      <c r="AM373" s="127"/>
      <c r="AN373" s="127"/>
      <c r="AO373" s="127"/>
      <c r="AP373" s="127"/>
      <c r="AQ373" s="276"/>
    </row>
    <row r="374" spans="1:43" ht="15.75" thickBot="1">
      <c r="A374" s="59" t="s">
        <v>615</v>
      </c>
    </row>
    <row r="375" spans="1:43" ht="15.75" thickBot="1">
      <c r="A375" s="764" t="str">
        <f>A372</f>
        <v>Hand Rail</v>
      </c>
      <c r="B375" s="765">
        <v>4.9000000000000004</v>
      </c>
      <c r="C375" s="765">
        <v>5.62</v>
      </c>
      <c r="D375" s="765">
        <f>3.283+0.93</f>
        <v>4.2130000000000001</v>
      </c>
      <c r="E375" s="765">
        <v>0</v>
      </c>
      <c r="F375" s="765">
        <v>0</v>
      </c>
      <c r="G375" s="91">
        <v>0</v>
      </c>
      <c r="H375" s="765">
        <v>0</v>
      </c>
      <c r="I375" s="765">
        <v>0</v>
      </c>
      <c r="J375" s="765">
        <v>0</v>
      </c>
      <c r="K375" s="282">
        <f>SUM(B375:J375)</f>
        <v>14.733000000000001</v>
      </c>
      <c r="L375" s="306"/>
      <c r="Y375" s="102"/>
    </row>
    <row r="376" spans="1:43" ht="13.5" thickBot="1"/>
    <row r="377" spans="1:43" s="579" customFormat="1" ht="15.75" thickBot="1">
      <c r="A377" s="578" t="s">
        <v>628</v>
      </c>
    </row>
    <row r="379" spans="1:43" ht="15.75" thickBot="1">
      <c r="A379" s="59" t="s">
        <v>526</v>
      </c>
    </row>
    <row r="380" spans="1:43" s="56" customFormat="1" ht="15.75" thickBot="1">
      <c r="A380" s="286" t="s">
        <v>527</v>
      </c>
      <c r="B380" s="287">
        <f>D389-G407</f>
        <v>287.47822000000002</v>
      </c>
      <c r="C380" s="282" t="s">
        <v>84</v>
      </c>
      <c r="D380" s="275"/>
      <c r="E380" s="127"/>
      <c r="F380" s="580"/>
      <c r="G380" s="276"/>
      <c r="H380" s="127"/>
      <c r="I380" s="127"/>
      <c r="J380" s="127"/>
      <c r="K380" s="127"/>
      <c r="L380" s="127"/>
      <c r="M380" s="127"/>
      <c r="N380" s="127"/>
      <c r="O380" s="127"/>
      <c r="P380" s="127"/>
      <c r="Q380" s="127"/>
      <c r="R380" s="127"/>
      <c r="S380" s="127"/>
      <c r="T380" s="127"/>
      <c r="U380" s="127"/>
      <c r="V380" s="127"/>
      <c r="W380" s="127"/>
      <c r="X380" s="127"/>
      <c r="Y380" s="127"/>
      <c r="Z380" s="127"/>
      <c r="AA380" s="127"/>
      <c r="AB380" s="127"/>
      <c r="AC380" s="127"/>
      <c r="AD380" s="127"/>
      <c r="AE380" s="127"/>
      <c r="AF380" s="127"/>
      <c r="AG380" s="276"/>
      <c r="AH380" s="127"/>
      <c r="AI380" s="127"/>
      <c r="AJ380" s="127"/>
      <c r="AK380" s="127"/>
      <c r="AL380" s="127"/>
      <c r="AM380" s="127"/>
      <c r="AN380" s="127"/>
      <c r="AO380" s="127"/>
      <c r="AP380" s="127"/>
      <c r="AQ380" s="276"/>
    </row>
    <row r="381" spans="1:43" ht="13.5" thickBot="1"/>
    <row r="382" spans="1:43" ht="13.5" thickBot="1">
      <c r="A382" s="283" t="s">
        <v>382</v>
      </c>
      <c r="B382" s="284" t="s">
        <v>383</v>
      </c>
      <c r="C382" s="284" t="s">
        <v>385</v>
      </c>
      <c r="D382" s="285" t="s">
        <v>408</v>
      </c>
    </row>
    <row r="383" spans="1:43">
      <c r="A383" s="61"/>
      <c r="B383" s="82"/>
      <c r="C383" s="82"/>
      <c r="D383" s="82"/>
    </row>
    <row r="384" spans="1:43" ht="15">
      <c r="A384" s="67" t="s">
        <v>528</v>
      </c>
      <c r="B384" s="78">
        <f>P392</f>
        <v>31.825999999999997</v>
      </c>
      <c r="C384" s="78">
        <f>3-0.43+1</f>
        <v>3.57</v>
      </c>
      <c r="D384" s="79">
        <f>C384*B384</f>
        <v>113.61881999999999</v>
      </c>
      <c r="E384" s="75"/>
      <c r="F384" s="75"/>
      <c r="G384" s="75"/>
    </row>
    <row r="385" spans="1:43" ht="15">
      <c r="A385" s="67" t="s">
        <v>530</v>
      </c>
      <c r="B385" s="78">
        <f>P393</f>
        <v>41.684000000000005</v>
      </c>
      <c r="C385" s="78">
        <f>3-0.15+1</f>
        <v>3.85</v>
      </c>
      <c r="D385" s="79">
        <f>C385*B385</f>
        <v>160.48340000000002</v>
      </c>
      <c r="E385" s="75"/>
      <c r="F385" s="75"/>
      <c r="G385" s="75"/>
    </row>
    <row r="386" spans="1:43" ht="15">
      <c r="A386" s="67" t="s">
        <v>530</v>
      </c>
      <c r="B386" s="78">
        <f>P394</f>
        <v>0</v>
      </c>
      <c r="C386" s="78">
        <v>1.2</v>
      </c>
      <c r="D386" s="79">
        <f>C386*B386</f>
        <v>0</v>
      </c>
      <c r="E386" s="75"/>
      <c r="F386" s="75"/>
      <c r="G386" s="75"/>
    </row>
    <row r="387" spans="1:43" ht="15">
      <c r="A387" s="67" t="s">
        <v>616</v>
      </c>
      <c r="B387" s="78">
        <f>P395</f>
        <v>9.2579999999999991</v>
      </c>
      <c r="C387" s="78">
        <v>2</v>
      </c>
      <c r="D387" s="79">
        <f>C387*B387</f>
        <v>18.515999999999998</v>
      </c>
      <c r="E387" s="75"/>
      <c r="F387" s="75"/>
      <c r="G387" s="75"/>
    </row>
    <row r="388" spans="1:43" ht="15.75" thickBot="1">
      <c r="A388" s="67"/>
      <c r="B388" s="78"/>
      <c r="C388" s="78"/>
      <c r="D388" s="79"/>
    </row>
    <row r="389" spans="1:43" ht="15.75" thickBot="1">
      <c r="A389" s="958" t="s">
        <v>393</v>
      </c>
      <c r="B389" s="959"/>
      <c r="C389" s="960"/>
      <c r="D389" s="77">
        <f>SUM(D383:D388)</f>
        <v>292.61822000000001</v>
      </c>
    </row>
    <row r="391" spans="1:43" ht="15.75" thickBot="1">
      <c r="A391" s="59" t="s">
        <v>531</v>
      </c>
    </row>
    <row r="392" spans="1:43" s="56" customFormat="1" ht="17.25" customHeight="1" thickBot="1">
      <c r="A392" s="764" t="str">
        <f>A384</f>
        <v>150mm outer wall (Beam Line)</v>
      </c>
      <c r="B392" s="765">
        <v>4.101</v>
      </c>
      <c r="C392" s="765">
        <v>5.3920000000000003</v>
      </c>
      <c r="D392" s="765">
        <v>1.9570000000000001</v>
      </c>
      <c r="E392" s="765">
        <v>2.1549999999999998</v>
      </c>
      <c r="F392" s="765">
        <v>1.9239999999999999</v>
      </c>
      <c r="G392" s="765">
        <v>1.64</v>
      </c>
      <c r="H392" s="765">
        <v>4.25</v>
      </c>
      <c r="I392" s="765">
        <v>3.8</v>
      </c>
      <c r="J392" s="765">
        <v>1.9</v>
      </c>
      <c r="K392" s="765">
        <v>2.2050000000000001</v>
      </c>
      <c r="L392" s="765">
        <v>2.5019999999999998</v>
      </c>
      <c r="M392" s="765">
        <v>0</v>
      </c>
      <c r="N392" s="765">
        <v>0</v>
      </c>
      <c r="O392" s="765">
        <v>0</v>
      </c>
      <c r="P392" s="282">
        <f>SUM(B392:O392)</f>
        <v>31.825999999999997</v>
      </c>
      <c r="Q392" s="127"/>
      <c r="R392" s="127"/>
      <c r="S392" s="127"/>
      <c r="T392" s="127"/>
      <c r="U392" s="127"/>
      <c r="V392" s="127"/>
      <c r="W392" s="127"/>
      <c r="X392" s="127"/>
      <c r="Y392" s="127"/>
      <c r="Z392" s="127"/>
      <c r="AA392" s="127"/>
      <c r="AB392" s="276"/>
      <c r="AC392" s="127"/>
      <c r="AD392" s="127"/>
      <c r="AE392" s="127"/>
      <c r="AF392" s="127"/>
      <c r="AG392" s="276"/>
      <c r="AH392" s="127"/>
      <c r="AI392" s="127"/>
      <c r="AJ392" s="127"/>
      <c r="AK392" s="127"/>
      <c r="AL392" s="127"/>
      <c r="AM392" s="127"/>
      <c r="AN392" s="127"/>
      <c r="AO392" s="127"/>
      <c r="AP392" s="127"/>
      <c r="AQ392" s="276"/>
    </row>
    <row r="393" spans="1:43" s="56" customFormat="1" ht="17.25" customHeight="1" thickBot="1">
      <c r="A393" s="764" t="str">
        <f>A385</f>
        <v>150mm outer wall (Slab Line)</v>
      </c>
      <c r="B393" s="765">
        <v>2.911</v>
      </c>
      <c r="C393" s="765">
        <v>1.3180000000000001</v>
      </c>
      <c r="D393" s="765">
        <v>3.524</v>
      </c>
      <c r="E393" s="770">
        <v>6.6260000000000003</v>
      </c>
      <c r="F393" s="765">
        <v>2.4500000000000002</v>
      </c>
      <c r="G393" s="765">
        <v>1.89</v>
      </c>
      <c r="H393" s="765">
        <v>1.84</v>
      </c>
      <c r="I393" s="765">
        <v>5.65</v>
      </c>
      <c r="J393" s="765">
        <v>5.55</v>
      </c>
      <c r="K393" s="765">
        <v>5.7249999999999996</v>
      </c>
      <c r="L393" s="765">
        <v>4.2</v>
      </c>
      <c r="M393" s="765">
        <v>0</v>
      </c>
      <c r="N393" s="765">
        <v>0</v>
      </c>
      <c r="O393" s="765">
        <v>0</v>
      </c>
      <c r="P393" s="282">
        <f>SUM(B393:O393)</f>
        <v>41.684000000000005</v>
      </c>
      <c r="Q393" s="127"/>
      <c r="R393" s="127"/>
      <c r="S393" s="127"/>
      <c r="T393" s="127"/>
      <c r="U393" s="127"/>
      <c r="V393" s="127"/>
      <c r="W393" s="127"/>
      <c r="X393" s="127"/>
      <c r="Y393" s="127"/>
      <c r="Z393" s="127"/>
      <c r="AA393" s="127"/>
      <c r="AB393" s="276"/>
      <c r="AC393" s="127"/>
      <c r="AD393" s="127"/>
      <c r="AE393" s="127"/>
      <c r="AF393" s="127"/>
      <c r="AG393" s="276"/>
      <c r="AH393" s="127"/>
      <c r="AI393" s="127"/>
      <c r="AJ393" s="127"/>
      <c r="AK393" s="127"/>
      <c r="AL393" s="127"/>
      <c r="AM393" s="127"/>
      <c r="AN393" s="127"/>
      <c r="AO393" s="127"/>
      <c r="AP393" s="127"/>
      <c r="AQ393" s="276"/>
    </row>
    <row r="394" spans="1:43" s="56" customFormat="1" ht="17.25" customHeight="1" thickBot="1">
      <c r="A394" s="764" t="str">
        <f>A386</f>
        <v>150mm outer wall (Slab Line)</v>
      </c>
      <c r="B394" s="765">
        <v>0</v>
      </c>
      <c r="C394" s="765">
        <v>0</v>
      </c>
      <c r="D394" s="765">
        <v>0</v>
      </c>
      <c r="E394" s="765">
        <v>0</v>
      </c>
      <c r="F394" s="765">
        <v>0</v>
      </c>
      <c r="G394" s="765">
        <v>0</v>
      </c>
      <c r="H394" s="765">
        <v>0</v>
      </c>
      <c r="I394" s="765">
        <v>0</v>
      </c>
      <c r="J394" s="765">
        <v>0</v>
      </c>
      <c r="K394" s="765">
        <v>0</v>
      </c>
      <c r="L394" s="765">
        <v>0</v>
      </c>
      <c r="M394" s="765">
        <v>0</v>
      </c>
      <c r="N394" s="765">
        <v>0</v>
      </c>
      <c r="O394" s="765">
        <v>0</v>
      </c>
      <c r="P394" s="282">
        <f>SUM(B394:O394)</f>
        <v>0</v>
      </c>
      <c r="Q394" s="127"/>
      <c r="R394" s="127"/>
      <c r="S394" s="127"/>
      <c r="T394" s="127"/>
      <c r="U394" s="127"/>
      <c r="V394" s="127"/>
      <c r="W394" s="127"/>
      <c r="X394" s="127"/>
      <c r="Y394" s="127"/>
      <c r="Z394" s="127"/>
      <c r="AA394" s="127"/>
      <c r="AB394" s="276"/>
      <c r="AC394" s="127"/>
      <c r="AD394" s="127"/>
      <c r="AE394" s="127"/>
      <c r="AF394" s="127"/>
      <c r="AG394" s="276"/>
      <c r="AH394" s="127"/>
      <c r="AI394" s="127"/>
      <c r="AJ394" s="127"/>
      <c r="AK394" s="127"/>
      <c r="AL394" s="127"/>
      <c r="AM394" s="127"/>
      <c r="AN394" s="127"/>
      <c r="AO394" s="127"/>
      <c r="AP394" s="127"/>
      <c r="AQ394" s="276"/>
    </row>
    <row r="395" spans="1:43" s="56" customFormat="1" ht="17.25" customHeight="1" thickBot="1">
      <c r="A395" s="764" t="str">
        <f>A387</f>
        <v>150mm - 2M wall</v>
      </c>
      <c r="B395" s="765">
        <v>3.5979999999999999</v>
      </c>
      <c r="C395" s="765">
        <v>3.76</v>
      </c>
      <c r="D395" s="765">
        <v>1.9</v>
      </c>
      <c r="E395" s="765">
        <v>0</v>
      </c>
      <c r="F395" s="765">
        <v>0</v>
      </c>
      <c r="G395" s="765">
        <v>0</v>
      </c>
      <c r="H395" s="765">
        <v>0</v>
      </c>
      <c r="I395" s="765">
        <v>0</v>
      </c>
      <c r="J395" s="765">
        <v>0</v>
      </c>
      <c r="K395" s="765">
        <v>0</v>
      </c>
      <c r="L395" s="765">
        <v>0</v>
      </c>
      <c r="M395" s="765">
        <v>0</v>
      </c>
      <c r="N395" s="765">
        <v>0</v>
      </c>
      <c r="O395" s="765">
        <v>0</v>
      </c>
      <c r="P395" s="282">
        <f>SUM(B395:O395)</f>
        <v>9.2579999999999991</v>
      </c>
      <c r="Q395" s="127"/>
      <c r="R395" s="127"/>
      <c r="S395" s="127"/>
      <c r="T395" s="127"/>
      <c r="U395" s="127"/>
      <c r="V395" s="127"/>
      <c r="W395" s="127"/>
      <c r="X395" s="127"/>
      <c r="Y395" s="127"/>
      <c r="Z395" s="127"/>
      <c r="AA395" s="127"/>
      <c r="AB395" s="276"/>
      <c r="AC395" s="127"/>
      <c r="AD395" s="127"/>
      <c r="AE395" s="127"/>
      <c r="AF395" s="127"/>
      <c r="AG395" s="276"/>
      <c r="AH395" s="127"/>
      <c r="AI395" s="127"/>
      <c r="AJ395" s="127"/>
      <c r="AK395" s="127"/>
      <c r="AL395" s="127"/>
      <c r="AM395" s="127"/>
      <c r="AN395" s="127"/>
      <c r="AO395" s="127"/>
      <c r="AP395" s="127"/>
      <c r="AQ395" s="276"/>
    </row>
    <row r="397" spans="1:43" ht="15.75" thickBot="1">
      <c r="A397" s="59" t="s">
        <v>447</v>
      </c>
    </row>
    <row r="398" spans="1:43" s="56" customFormat="1" ht="15.75" customHeight="1" thickBot="1">
      <c r="A398" s="310" t="s">
        <v>382</v>
      </c>
      <c r="B398" s="311" t="s">
        <v>82</v>
      </c>
      <c r="C398" s="311" t="s">
        <v>291</v>
      </c>
      <c r="D398" s="311" t="s">
        <v>384</v>
      </c>
      <c r="E398" s="311" t="s">
        <v>385</v>
      </c>
      <c r="F398" s="313" t="s">
        <v>409</v>
      </c>
      <c r="G398" s="314" t="s">
        <v>532</v>
      </c>
      <c r="H398" s="961" t="s">
        <v>533</v>
      </c>
      <c r="I398" s="962"/>
      <c r="J398" s="962"/>
      <c r="K398" s="962"/>
      <c r="L398" s="962"/>
      <c r="M398" s="962"/>
      <c r="N398" s="962"/>
      <c r="O398" s="963"/>
      <c r="P398" s="315" t="s">
        <v>532</v>
      </c>
    </row>
    <row r="399" spans="1:43">
      <c r="A399" s="61"/>
      <c r="B399" s="61"/>
      <c r="C399" s="61"/>
      <c r="D399" s="61"/>
      <c r="E399" s="61"/>
      <c r="F399" s="61"/>
      <c r="G399" s="61"/>
      <c r="N399" s="69"/>
      <c r="O399" s="70"/>
      <c r="P399" s="61"/>
    </row>
    <row r="400" spans="1:43" ht="15">
      <c r="A400" s="62" t="s">
        <v>534</v>
      </c>
      <c r="B400" s="309" t="s">
        <v>617</v>
      </c>
      <c r="C400" s="73">
        <f>P400</f>
        <v>1</v>
      </c>
      <c r="D400" s="73">
        <v>1.9</v>
      </c>
      <c r="E400" s="73">
        <v>1.6</v>
      </c>
      <c r="F400" s="79">
        <f>E400*D400</f>
        <v>3.04</v>
      </c>
      <c r="G400" s="79">
        <f>F400*C400</f>
        <v>3.04</v>
      </c>
      <c r="H400" s="102">
        <v>1</v>
      </c>
      <c r="I400" s="102">
        <v>0</v>
      </c>
      <c r="J400" s="102">
        <v>0</v>
      </c>
      <c r="K400" s="75">
        <v>0</v>
      </c>
      <c r="L400" s="75">
        <v>0</v>
      </c>
      <c r="M400" s="75">
        <v>0</v>
      </c>
      <c r="N400" s="75">
        <v>0</v>
      </c>
      <c r="O400" s="766">
        <v>0</v>
      </c>
      <c r="P400" s="79">
        <f>SUM(H400:O400)</f>
        <v>1</v>
      </c>
    </row>
    <row r="401" spans="1:16" ht="15">
      <c r="A401" s="63"/>
      <c r="B401" s="309"/>
      <c r="C401" s="73"/>
      <c r="D401" s="73"/>
      <c r="E401" s="73"/>
      <c r="F401" s="79"/>
      <c r="G401" s="79"/>
      <c r="H401" s="102"/>
      <c r="I401" s="102"/>
      <c r="J401" s="102"/>
      <c r="O401" s="217"/>
      <c r="P401" s="79"/>
    </row>
    <row r="402" spans="1:16" ht="15">
      <c r="A402" s="62" t="s">
        <v>538</v>
      </c>
      <c r="B402" s="309" t="s">
        <v>618</v>
      </c>
      <c r="C402" s="73">
        <f>P402</f>
        <v>3</v>
      </c>
      <c r="D402" s="73">
        <v>1</v>
      </c>
      <c r="E402" s="73">
        <v>0.7</v>
      </c>
      <c r="F402" s="79">
        <f t="shared" ref="F402:F405" si="33">E402*D402</f>
        <v>0.7</v>
      </c>
      <c r="G402" s="79">
        <f t="shared" ref="G402:G405" si="34">F402*C402</f>
        <v>2.0999999999999996</v>
      </c>
      <c r="H402" s="102">
        <v>1</v>
      </c>
      <c r="I402" s="75">
        <v>1</v>
      </c>
      <c r="J402" s="75">
        <v>1</v>
      </c>
      <c r="K402" s="75">
        <v>0</v>
      </c>
      <c r="L402" s="75">
        <v>0</v>
      </c>
      <c r="M402" s="75">
        <v>0</v>
      </c>
      <c r="N402" s="75">
        <v>0</v>
      </c>
      <c r="O402" s="766">
        <v>0</v>
      </c>
      <c r="P402" s="79">
        <f t="shared" ref="P402:P405" si="35">SUM(H402:O402)</f>
        <v>3</v>
      </c>
    </row>
    <row r="403" spans="1:16" ht="15">
      <c r="A403" s="598"/>
      <c r="B403" s="309" t="s">
        <v>543</v>
      </c>
      <c r="C403" s="73">
        <f>P403</f>
        <v>3</v>
      </c>
      <c r="D403" s="73">
        <v>2.335</v>
      </c>
      <c r="E403" s="73">
        <v>2.6</v>
      </c>
      <c r="F403" s="79">
        <f t="shared" si="33"/>
        <v>6.0709999999999997</v>
      </c>
      <c r="G403" s="79">
        <f t="shared" si="34"/>
        <v>18.213000000000001</v>
      </c>
      <c r="H403" s="102">
        <v>1</v>
      </c>
      <c r="I403" s="75">
        <v>1</v>
      </c>
      <c r="J403" s="75">
        <v>1</v>
      </c>
      <c r="K403" s="75">
        <v>0</v>
      </c>
      <c r="L403" s="75">
        <v>0</v>
      </c>
      <c r="M403" s="75">
        <v>0</v>
      </c>
      <c r="N403" s="75">
        <v>0</v>
      </c>
      <c r="O403" s="766">
        <v>0</v>
      </c>
      <c r="P403" s="79">
        <f t="shared" si="35"/>
        <v>3</v>
      </c>
    </row>
    <row r="404" spans="1:16" ht="15">
      <c r="A404" s="598"/>
      <c r="B404" s="309" t="s">
        <v>619</v>
      </c>
      <c r="C404" s="73">
        <f>P404</f>
        <v>3</v>
      </c>
      <c r="D404" s="73">
        <v>1.65</v>
      </c>
      <c r="E404" s="73">
        <v>2.25</v>
      </c>
      <c r="F404" s="79">
        <f t="shared" si="33"/>
        <v>3.7124999999999999</v>
      </c>
      <c r="G404" s="79">
        <f t="shared" si="34"/>
        <v>11.137499999999999</v>
      </c>
      <c r="H404" s="102">
        <v>1</v>
      </c>
      <c r="I404" s="75">
        <v>1</v>
      </c>
      <c r="J404" s="75">
        <v>1</v>
      </c>
      <c r="K404" s="75">
        <v>0</v>
      </c>
      <c r="L404" s="75">
        <v>0</v>
      </c>
      <c r="M404" s="75">
        <v>0</v>
      </c>
      <c r="N404" s="75">
        <v>0</v>
      </c>
      <c r="O404" s="766">
        <v>0</v>
      </c>
      <c r="P404" s="79">
        <f t="shared" si="35"/>
        <v>3</v>
      </c>
    </row>
    <row r="405" spans="1:16" ht="15">
      <c r="A405" s="598"/>
      <c r="B405" s="309" t="s">
        <v>620</v>
      </c>
      <c r="C405" s="73">
        <f>P405</f>
        <v>3</v>
      </c>
      <c r="D405" s="73">
        <v>1.1000000000000001</v>
      </c>
      <c r="E405" s="73">
        <v>2.25</v>
      </c>
      <c r="F405" s="79">
        <f t="shared" si="33"/>
        <v>2.4750000000000001</v>
      </c>
      <c r="G405" s="79">
        <f t="shared" si="34"/>
        <v>7.4250000000000007</v>
      </c>
      <c r="H405" s="102">
        <v>1</v>
      </c>
      <c r="I405" s="75">
        <v>1</v>
      </c>
      <c r="J405" s="75">
        <v>1</v>
      </c>
      <c r="K405" s="75">
        <v>0</v>
      </c>
      <c r="L405" s="75">
        <v>0</v>
      </c>
      <c r="M405" s="75">
        <v>0</v>
      </c>
      <c r="N405" s="75">
        <v>0</v>
      </c>
      <c r="O405" s="766">
        <v>0</v>
      </c>
      <c r="P405" s="79">
        <f t="shared" si="35"/>
        <v>3</v>
      </c>
    </row>
    <row r="406" spans="1:16" ht="15.75" thickBot="1">
      <c r="B406" s="309"/>
      <c r="C406" s="73"/>
      <c r="D406" s="73"/>
      <c r="E406" s="73"/>
      <c r="F406" s="79"/>
      <c r="G406" s="79"/>
      <c r="N406" s="280"/>
      <c r="O406" s="316"/>
      <c r="P406" s="79"/>
    </row>
    <row r="407" spans="1:16" ht="15.75" thickBot="1">
      <c r="A407" s="65"/>
      <c r="B407" s="955" t="s">
        <v>545</v>
      </c>
      <c r="C407" s="956"/>
      <c r="D407" s="956"/>
      <c r="E407" s="956"/>
      <c r="F407" s="957"/>
      <c r="G407" s="77">
        <f>SUM(G399:G402)</f>
        <v>5.14</v>
      </c>
      <c r="H407" s="293"/>
      <c r="I407" s="208"/>
      <c r="J407" s="208"/>
      <c r="K407" s="312"/>
      <c r="L407" s="312"/>
      <c r="M407" s="312"/>
      <c r="N407" s="312"/>
      <c r="O407" s="317"/>
      <c r="P407" s="77"/>
    </row>
    <row r="408" spans="1:16" ht="15">
      <c r="H408" s="102"/>
      <c r="I408" s="102"/>
      <c r="J408" s="102"/>
    </row>
    <row r="409" spans="1:16" ht="15">
      <c r="H409" s="102"/>
      <c r="I409" s="102"/>
      <c r="J409" s="102"/>
    </row>
    <row r="410" spans="1:16" ht="15.75" thickBot="1">
      <c r="A410" s="59" t="s">
        <v>546</v>
      </c>
    </row>
    <row r="411" spans="1:16" s="56" customFormat="1" ht="15.75" thickBot="1">
      <c r="A411" s="286" t="s">
        <v>547</v>
      </c>
      <c r="B411" s="287">
        <f>D418-H428+J428</f>
        <v>86.725699999999989</v>
      </c>
      <c r="C411" s="282" t="s">
        <v>84</v>
      </c>
      <c r="D411" s="275"/>
      <c r="E411" s="127"/>
      <c r="F411" s="127"/>
      <c r="G411" s="276"/>
      <c r="H411" s="127"/>
      <c r="I411" s="127"/>
      <c r="J411" s="277"/>
    </row>
    <row r="412" spans="1:16" ht="13.5" thickBot="1"/>
    <row r="413" spans="1:16" ht="15.75" thickBot="1">
      <c r="A413" s="283" t="s">
        <v>382</v>
      </c>
      <c r="B413" s="284" t="s">
        <v>383</v>
      </c>
      <c r="C413" s="284" t="s">
        <v>385</v>
      </c>
      <c r="D413" s="285" t="s">
        <v>408</v>
      </c>
      <c r="J413" s="102"/>
    </row>
    <row r="414" spans="1:16" ht="15">
      <c r="A414" s="61"/>
      <c r="B414" s="82"/>
      <c r="C414" s="82"/>
      <c r="D414" s="82"/>
      <c r="J414" s="102"/>
    </row>
    <row r="415" spans="1:16" ht="15">
      <c r="A415" s="67" t="s">
        <v>548</v>
      </c>
      <c r="B415" s="78">
        <f>M421</f>
        <v>16.765000000000001</v>
      </c>
      <c r="C415" s="78">
        <v>3</v>
      </c>
      <c r="D415" s="79">
        <f>C415*B415</f>
        <v>50.295000000000002</v>
      </c>
      <c r="E415" s="75" t="s">
        <v>549</v>
      </c>
      <c r="J415" s="102"/>
    </row>
    <row r="416" spans="1:16" ht="15">
      <c r="A416" s="67" t="s">
        <v>621</v>
      </c>
      <c r="B416" s="78">
        <f>M422</f>
        <v>9.2579999999999991</v>
      </c>
      <c r="C416" s="78">
        <v>4.1500000000000004</v>
      </c>
      <c r="D416" s="79">
        <f>C416*B416</f>
        <v>38.420699999999997</v>
      </c>
      <c r="J416" s="102"/>
    </row>
    <row r="417" spans="1:43" s="56" customFormat="1" ht="15.75" thickBot="1">
      <c r="A417" s="67"/>
      <c r="B417" s="78"/>
      <c r="C417" s="78"/>
      <c r="D417" s="79"/>
      <c r="E417" s="8"/>
      <c r="F417" s="8"/>
      <c r="G417" s="8"/>
      <c r="H417" s="8"/>
      <c r="I417" s="8"/>
      <c r="J417" s="127"/>
      <c r="K417" s="127"/>
      <c r="L417" s="127"/>
      <c r="M417" s="127"/>
      <c r="N417" s="127"/>
      <c r="O417" s="127"/>
      <c r="P417" s="127"/>
      <c r="Q417" s="127"/>
      <c r="R417" s="127"/>
      <c r="S417" s="127"/>
      <c r="T417" s="127"/>
      <c r="U417" s="127"/>
      <c r="V417" s="127"/>
      <c r="W417" s="127"/>
      <c r="X417" s="127"/>
      <c r="Y417" s="127"/>
      <c r="Z417" s="127"/>
      <c r="AA417" s="127"/>
      <c r="AB417" s="127"/>
      <c r="AC417" s="127"/>
      <c r="AD417" s="127"/>
      <c r="AE417" s="127"/>
      <c r="AF417" s="127"/>
      <c r="AG417" s="276"/>
      <c r="AH417" s="127"/>
      <c r="AI417" s="127"/>
      <c r="AJ417" s="127"/>
      <c r="AK417" s="127"/>
      <c r="AL417" s="127"/>
      <c r="AM417" s="127"/>
      <c r="AN417" s="127"/>
      <c r="AO417" s="127"/>
      <c r="AP417" s="127"/>
      <c r="AQ417" s="276"/>
    </row>
    <row r="418" spans="1:43" ht="15.75" thickBot="1">
      <c r="A418" s="958" t="s">
        <v>393</v>
      </c>
      <c r="B418" s="959"/>
      <c r="C418" s="960"/>
      <c r="D418" s="77">
        <f>SUM(D414:D417)</f>
        <v>88.715699999999998</v>
      </c>
    </row>
    <row r="420" spans="1:43" ht="15.75" thickBot="1">
      <c r="A420" s="59" t="s">
        <v>551</v>
      </c>
    </row>
    <row r="421" spans="1:43" ht="15.75" thickBot="1">
      <c r="A421" s="764" t="str">
        <f>A415</f>
        <v>Outer Wall - Full</v>
      </c>
      <c r="B421" s="765">
        <v>12.5</v>
      </c>
      <c r="C421" s="765">
        <v>2.2000000000000002</v>
      </c>
      <c r="D421" s="765">
        <v>2.0649999999999999</v>
      </c>
      <c r="E421" s="765">
        <v>0</v>
      </c>
      <c r="F421" s="765">
        <v>0</v>
      </c>
      <c r="G421" s="765">
        <v>0</v>
      </c>
      <c r="H421" s="765">
        <v>0</v>
      </c>
      <c r="I421" s="765">
        <v>0</v>
      </c>
      <c r="J421" s="765">
        <v>0</v>
      </c>
      <c r="K421" s="765">
        <v>0</v>
      </c>
      <c r="L421" s="765">
        <v>0</v>
      </c>
      <c r="M421" s="282">
        <f>SUM(B421:L421)</f>
        <v>16.765000000000001</v>
      </c>
    </row>
    <row r="422" spans="1:43" ht="15.75" thickBot="1">
      <c r="A422" s="764" t="str">
        <f>A416</f>
        <v xml:space="preserve">Outer wal - 2.0m </v>
      </c>
      <c r="B422" s="765">
        <v>3.5979999999999999</v>
      </c>
      <c r="C422" s="765">
        <v>3.76</v>
      </c>
      <c r="D422" s="765">
        <v>1.9</v>
      </c>
      <c r="E422" s="765">
        <v>0</v>
      </c>
      <c r="F422" s="765">
        <v>0</v>
      </c>
      <c r="G422" s="765">
        <v>0</v>
      </c>
      <c r="H422" s="765">
        <v>0</v>
      </c>
      <c r="I422" s="765">
        <v>0</v>
      </c>
      <c r="J422" s="765">
        <v>0</v>
      </c>
      <c r="K422" s="765">
        <v>0</v>
      </c>
      <c r="L422" s="765">
        <v>0</v>
      </c>
      <c r="M422" s="282">
        <f>SUM(B422:L422)</f>
        <v>9.2579999999999991</v>
      </c>
    </row>
    <row r="424" spans="1:43" ht="15.75" thickBot="1">
      <c r="A424" s="59" t="s">
        <v>552</v>
      </c>
    </row>
    <row r="425" spans="1:43" ht="15.75" customHeight="1" thickBot="1">
      <c r="A425" s="288" t="s">
        <v>382</v>
      </c>
      <c r="B425" s="289" t="s">
        <v>82</v>
      </c>
      <c r="C425" s="289" t="s">
        <v>291</v>
      </c>
      <c r="D425" s="289" t="s">
        <v>383</v>
      </c>
      <c r="E425" s="289" t="s">
        <v>384</v>
      </c>
      <c r="F425" s="289" t="s">
        <v>409</v>
      </c>
      <c r="G425" s="290" t="s">
        <v>532</v>
      </c>
      <c r="H425" s="291" t="s">
        <v>553</v>
      </c>
      <c r="I425" s="291" t="s">
        <v>554</v>
      </c>
      <c r="J425" s="292" t="s">
        <v>555</v>
      </c>
    </row>
    <row r="426" spans="1:43">
      <c r="A426" s="61"/>
      <c r="B426" s="61"/>
      <c r="C426" s="61"/>
      <c r="D426" s="61"/>
      <c r="E426" s="61"/>
      <c r="F426" s="294"/>
      <c r="G426" s="295"/>
      <c r="H426" s="63"/>
      <c r="I426" s="63"/>
      <c r="J426" s="63"/>
    </row>
    <row r="427" spans="1:43" ht="15.75" thickBot="1">
      <c r="A427" s="62" t="s">
        <v>534</v>
      </c>
      <c r="B427" s="72" t="str">
        <f>B400</f>
        <v>W03</v>
      </c>
      <c r="C427" s="72">
        <f>C400</f>
        <v>1</v>
      </c>
      <c r="D427" s="72">
        <f>D400</f>
        <v>1.9</v>
      </c>
      <c r="E427" s="72">
        <f>E400</f>
        <v>1.6</v>
      </c>
      <c r="F427" s="93">
        <f>E427*D427</f>
        <v>3.04</v>
      </c>
      <c r="G427" s="93">
        <f>F427*C427</f>
        <v>3.04</v>
      </c>
      <c r="H427" s="78">
        <f>G427</f>
        <v>3.04</v>
      </c>
      <c r="I427" s="78">
        <f>G427</f>
        <v>3.04</v>
      </c>
      <c r="J427" s="78">
        <f>(D427+E427+D427+E427)*C427*0.15</f>
        <v>1.05</v>
      </c>
    </row>
    <row r="428" spans="1:43" ht="15.75" thickBot="1">
      <c r="A428" s="65"/>
      <c r="B428" s="955" t="s">
        <v>545</v>
      </c>
      <c r="C428" s="956"/>
      <c r="D428" s="956"/>
      <c r="E428" s="956"/>
      <c r="F428" s="957"/>
      <c r="G428" s="293">
        <f>SUM(G426:G427)</f>
        <v>3.04</v>
      </c>
      <c r="H428" s="293">
        <f>SUM(H426:H427)</f>
        <v>3.04</v>
      </c>
      <c r="I428" s="293">
        <f>SUM(I426:I427)</f>
        <v>3.04</v>
      </c>
      <c r="J428" s="77">
        <f>SUM(J426:J427)</f>
        <v>1.05</v>
      </c>
      <c r="K428" s="75"/>
      <c r="L428" s="75"/>
    </row>
    <row r="429" spans="1:43" ht="15">
      <c r="A429" s="63"/>
      <c r="B429" s="72"/>
      <c r="C429" s="73"/>
      <c r="D429" s="73"/>
      <c r="E429" s="73"/>
      <c r="F429" s="93"/>
      <c r="G429" s="296"/>
      <c r="H429" s="78"/>
      <c r="I429" s="78"/>
      <c r="J429" s="78"/>
    </row>
    <row r="430" spans="1:43" s="56" customFormat="1" ht="15">
      <c r="A430" s="62" t="s">
        <v>538</v>
      </c>
      <c r="B430" s="72" t="str">
        <f t="shared" ref="B430:E433" si="36">B402</f>
        <v>W05</v>
      </c>
      <c r="C430" s="72">
        <f t="shared" si="36"/>
        <v>3</v>
      </c>
      <c r="D430" s="72">
        <f t="shared" si="36"/>
        <v>1</v>
      </c>
      <c r="E430" s="72">
        <f t="shared" si="36"/>
        <v>0.7</v>
      </c>
      <c r="F430" s="93">
        <f t="shared" ref="F430:F433" si="37">E430*D430</f>
        <v>0.7</v>
      </c>
      <c r="G430" s="93">
        <f t="shared" ref="G430:G433" si="38">F430*C430</f>
        <v>2.0999999999999996</v>
      </c>
      <c r="H430" s="78">
        <f>G430</f>
        <v>2.0999999999999996</v>
      </c>
      <c r="I430" s="78">
        <f>G430</f>
        <v>2.0999999999999996</v>
      </c>
      <c r="J430" s="78">
        <f>(D430+E430+D430+E430)*C430*0.15</f>
        <v>1.53</v>
      </c>
      <c r="K430" s="277"/>
      <c r="L430" s="277"/>
    </row>
    <row r="431" spans="1:43" s="56" customFormat="1" ht="15">
      <c r="A431" s="62"/>
      <c r="B431" s="72" t="str">
        <f t="shared" si="36"/>
        <v>SD01</v>
      </c>
      <c r="C431" s="72">
        <f t="shared" si="36"/>
        <v>3</v>
      </c>
      <c r="D431" s="72">
        <f t="shared" si="36"/>
        <v>2.335</v>
      </c>
      <c r="E431" s="72">
        <f t="shared" si="36"/>
        <v>2.6</v>
      </c>
      <c r="F431" s="93">
        <f t="shared" si="37"/>
        <v>6.0709999999999997</v>
      </c>
      <c r="G431" s="93">
        <f t="shared" si="38"/>
        <v>18.213000000000001</v>
      </c>
      <c r="H431" s="78">
        <f t="shared" ref="H431:H433" si="39">G431</f>
        <v>18.213000000000001</v>
      </c>
      <c r="I431" s="78">
        <f t="shared" ref="I431:I433" si="40">G431</f>
        <v>18.213000000000001</v>
      </c>
      <c r="J431" s="78">
        <f t="shared" ref="J431:J433" si="41">(D431+E431+D431+E431)*C431*0.15</f>
        <v>4.4415000000000004</v>
      </c>
      <c r="K431" s="277"/>
      <c r="L431" s="277"/>
    </row>
    <row r="432" spans="1:43" s="56" customFormat="1" ht="15">
      <c r="A432" s="62"/>
      <c r="B432" s="72" t="str">
        <f t="shared" si="36"/>
        <v>PD02</v>
      </c>
      <c r="C432" s="72">
        <f t="shared" si="36"/>
        <v>3</v>
      </c>
      <c r="D432" s="72">
        <f t="shared" si="36"/>
        <v>1.65</v>
      </c>
      <c r="E432" s="72">
        <f t="shared" si="36"/>
        <v>2.25</v>
      </c>
      <c r="F432" s="93">
        <f t="shared" si="37"/>
        <v>3.7124999999999999</v>
      </c>
      <c r="G432" s="93">
        <f t="shared" si="38"/>
        <v>11.137499999999999</v>
      </c>
      <c r="H432" s="78">
        <f t="shared" si="39"/>
        <v>11.137499999999999</v>
      </c>
      <c r="I432" s="78">
        <f t="shared" si="40"/>
        <v>11.137499999999999</v>
      </c>
      <c r="J432" s="78">
        <f t="shared" si="41"/>
        <v>3.51</v>
      </c>
      <c r="K432" s="277"/>
      <c r="L432" s="277"/>
    </row>
    <row r="433" spans="1:43" s="56" customFormat="1" ht="15">
      <c r="A433" s="62"/>
      <c r="B433" s="72" t="str">
        <f t="shared" si="36"/>
        <v>D04</v>
      </c>
      <c r="C433" s="72">
        <f t="shared" si="36"/>
        <v>3</v>
      </c>
      <c r="D433" s="72">
        <f t="shared" si="36"/>
        <v>1.1000000000000001</v>
      </c>
      <c r="E433" s="72">
        <f t="shared" si="36"/>
        <v>2.25</v>
      </c>
      <c r="F433" s="93">
        <f t="shared" si="37"/>
        <v>2.4750000000000001</v>
      </c>
      <c r="G433" s="93">
        <f t="shared" si="38"/>
        <v>7.4250000000000007</v>
      </c>
      <c r="H433" s="78">
        <f t="shared" si="39"/>
        <v>7.4250000000000007</v>
      </c>
      <c r="I433" s="78">
        <f t="shared" si="40"/>
        <v>7.4250000000000007</v>
      </c>
      <c r="J433" s="78">
        <f t="shared" si="41"/>
        <v>3.0150000000000001</v>
      </c>
      <c r="K433" s="277"/>
      <c r="L433" s="277"/>
    </row>
    <row r="434" spans="1:43" ht="15.75" thickBot="1">
      <c r="A434" s="63"/>
      <c r="B434" s="72"/>
      <c r="C434" s="73"/>
      <c r="D434" s="73"/>
      <c r="E434" s="73"/>
      <c r="F434" s="93"/>
      <c r="G434" s="296"/>
      <c r="H434" s="78"/>
      <c r="I434" s="78"/>
      <c r="J434" s="78"/>
      <c r="K434" s="75"/>
      <c r="L434" s="75"/>
    </row>
    <row r="435" spans="1:43" ht="15.75" thickBot="1">
      <c r="A435" s="65"/>
      <c r="B435" s="955" t="s">
        <v>545</v>
      </c>
      <c r="C435" s="956"/>
      <c r="D435" s="956"/>
      <c r="E435" s="956"/>
      <c r="F435" s="957"/>
      <c r="G435" s="293">
        <f>SUM(G429:G434)</f>
        <v>38.875500000000002</v>
      </c>
      <c r="H435" s="293">
        <f>SUM(H429:H434)</f>
        <v>38.875500000000002</v>
      </c>
      <c r="I435" s="293">
        <f>SUM(I429:I434)</f>
        <v>38.875500000000002</v>
      </c>
      <c r="J435" s="77">
        <f>SUM(J429:J434)</f>
        <v>12.496500000000001</v>
      </c>
      <c r="K435" s="75"/>
      <c r="L435" s="75"/>
    </row>
    <row r="436" spans="1:43">
      <c r="J436" s="75"/>
      <c r="K436" s="75"/>
      <c r="L436" s="75"/>
    </row>
    <row r="437" spans="1:43" ht="15.75" thickBot="1">
      <c r="A437" s="59" t="s">
        <v>556</v>
      </c>
      <c r="J437" s="75"/>
      <c r="K437" s="75"/>
      <c r="L437" s="75"/>
    </row>
    <row r="438" spans="1:43" ht="15.75" thickBot="1">
      <c r="A438" s="286" t="s">
        <v>557</v>
      </c>
      <c r="B438" s="297">
        <f>D444-I428-H435-I435+J435</f>
        <v>366.34247000000005</v>
      </c>
      <c r="C438" s="282" t="s">
        <v>84</v>
      </c>
      <c r="D438" s="127"/>
      <c r="E438" s="127"/>
      <c r="F438" s="127"/>
      <c r="G438" s="276"/>
      <c r="H438" s="127"/>
      <c r="I438" s="127"/>
      <c r="J438" s="75"/>
      <c r="K438" s="75"/>
      <c r="L438" s="75"/>
    </row>
    <row r="439" spans="1:43" ht="13.5" thickBot="1">
      <c r="J439" s="75"/>
      <c r="K439" s="75"/>
      <c r="L439" s="75"/>
    </row>
    <row r="440" spans="1:43" ht="13.5" thickBot="1">
      <c r="A440" s="283" t="s">
        <v>382</v>
      </c>
      <c r="B440" s="284" t="s">
        <v>383</v>
      </c>
      <c r="C440" s="284" t="s">
        <v>385</v>
      </c>
      <c r="D440" s="285" t="s">
        <v>408</v>
      </c>
      <c r="J440" s="75"/>
      <c r="K440" s="75"/>
      <c r="L440" s="75"/>
    </row>
    <row r="441" spans="1:43">
      <c r="A441" s="61"/>
      <c r="B441" s="82"/>
      <c r="C441" s="82"/>
      <c r="D441" s="82"/>
      <c r="J441" s="75"/>
      <c r="K441" s="75"/>
    </row>
    <row r="442" spans="1:43" ht="15">
      <c r="A442" s="67" t="s">
        <v>558</v>
      </c>
      <c r="B442" s="78">
        <f>P447</f>
        <v>152.5042</v>
      </c>
      <c r="C442" s="78">
        <v>2.85</v>
      </c>
      <c r="D442" s="79">
        <f>C442*B442</f>
        <v>434.63697000000002</v>
      </c>
      <c r="J442" s="102"/>
    </row>
    <row r="443" spans="1:43" ht="13.5" thickBot="1">
      <c r="A443" s="65"/>
      <c r="B443" s="80"/>
      <c r="C443" s="80"/>
      <c r="D443" s="80"/>
    </row>
    <row r="444" spans="1:43" s="56" customFormat="1" ht="15.75" thickBot="1">
      <c r="A444" s="958" t="s">
        <v>393</v>
      </c>
      <c r="B444" s="959"/>
      <c r="C444" s="960"/>
      <c r="D444" s="77">
        <f>SUM(D440:D443)</f>
        <v>434.63697000000002</v>
      </c>
      <c r="E444" s="8"/>
      <c r="F444" s="8"/>
      <c r="G444" s="8"/>
      <c r="H444" s="8"/>
      <c r="I444" s="8"/>
      <c r="J444" s="127"/>
      <c r="K444" s="127"/>
      <c r="L444" s="127"/>
      <c r="M444" s="127"/>
      <c r="N444" s="127"/>
      <c r="O444" s="127"/>
      <c r="P444" s="127"/>
      <c r="Q444" s="127"/>
      <c r="R444" s="127"/>
      <c r="S444" s="127"/>
      <c r="T444" s="127"/>
      <c r="U444" s="127"/>
      <c r="V444" s="127"/>
      <c r="W444" s="127"/>
      <c r="X444" s="127"/>
      <c r="Y444" s="127"/>
      <c r="Z444" s="127"/>
      <c r="AA444" s="127"/>
      <c r="AB444" s="127"/>
      <c r="AC444" s="127"/>
      <c r="AD444" s="127"/>
      <c r="AE444" s="127"/>
      <c r="AF444" s="127"/>
      <c r="AG444" s="276"/>
      <c r="AH444" s="127"/>
      <c r="AI444" s="127"/>
      <c r="AJ444" s="127"/>
      <c r="AK444" s="127"/>
      <c r="AL444" s="127"/>
      <c r="AM444" s="127"/>
      <c r="AN444" s="127"/>
      <c r="AO444" s="127"/>
      <c r="AP444" s="127"/>
      <c r="AQ444" s="276"/>
    </row>
    <row r="446" spans="1:43" ht="15.75" thickBot="1">
      <c r="A446" s="59" t="s">
        <v>551</v>
      </c>
    </row>
    <row r="447" spans="1:43" ht="15.75" thickBot="1">
      <c r="A447" s="764" t="str">
        <f>A442</f>
        <v>Internal Wall</v>
      </c>
      <c r="B447" s="765">
        <v>12.564</v>
      </c>
      <c r="C447" s="765">
        <v>19.850000000000001</v>
      </c>
      <c r="D447" s="765">
        <v>12</v>
      </c>
      <c r="E447" s="765">
        <v>19.625</v>
      </c>
      <c r="F447" s="765">
        <v>32.785200000000003</v>
      </c>
      <c r="G447" s="765">
        <v>11.98</v>
      </c>
      <c r="H447" s="765">
        <v>17.149999999999999</v>
      </c>
      <c r="I447" s="765">
        <v>7.91</v>
      </c>
      <c r="J447" s="765">
        <v>8.2439999999999998</v>
      </c>
      <c r="K447" s="765">
        <v>2.9159999999999999</v>
      </c>
      <c r="L447" s="765">
        <v>5.48</v>
      </c>
      <c r="M447" s="765">
        <v>2</v>
      </c>
      <c r="N447" s="765">
        <v>0</v>
      </c>
      <c r="O447" s="765">
        <v>0</v>
      </c>
      <c r="P447" s="77">
        <f>SUM(B447:O447)</f>
        <v>152.5042</v>
      </c>
    </row>
    <row r="448" spans="1:43" ht="15">
      <c r="J448" s="102"/>
    </row>
    <row r="449" spans="1:25" ht="15.75" thickBot="1">
      <c r="A449" s="59" t="s">
        <v>559</v>
      </c>
      <c r="J449" s="102"/>
      <c r="K449" s="75"/>
    </row>
    <row r="450" spans="1:25" ht="15.75" thickBot="1">
      <c r="A450" s="764" t="s">
        <v>560</v>
      </c>
      <c r="B450" s="767">
        <f>Y454</f>
        <v>118.69999999999999</v>
      </c>
      <c r="C450" s="599" t="s">
        <v>84</v>
      </c>
      <c r="D450" s="275"/>
      <c r="E450" s="127"/>
      <c r="F450" s="127"/>
      <c r="G450" s="276"/>
      <c r="H450" s="127"/>
      <c r="I450" s="127"/>
      <c r="J450" s="102"/>
    </row>
    <row r="451" spans="1:25" ht="15.75" thickBot="1">
      <c r="A451" s="764" t="s">
        <v>561</v>
      </c>
      <c r="B451" s="767">
        <f>Y455</f>
        <v>11</v>
      </c>
      <c r="C451" s="599" t="s">
        <v>84</v>
      </c>
      <c r="D451" s="275"/>
      <c r="E451" s="127"/>
      <c r="F451" s="127"/>
      <c r="G451" s="276"/>
      <c r="H451" s="127"/>
      <c r="I451" s="127"/>
      <c r="J451" s="102"/>
    </row>
    <row r="452" spans="1:25" ht="15">
      <c r="J452" s="102"/>
    </row>
    <row r="453" spans="1:25" ht="15.75" thickBot="1">
      <c r="A453" s="59" t="s">
        <v>562</v>
      </c>
      <c r="J453" s="102"/>
    </row>
    <row r="454" spans="1:25" ht="15.75" thickBot="1">
      <c r="A454" s="764" t="s">
        <v>562</v>
      </c>
      <c r="B454" s="765">
        <v>8.4</v>
      </c>
      <c r="C454" s="765">
        <v>17.850000000000001</v>
      </c>
      <c r="D454" s="765">
        <v>9.32</v>
      </c>
      <c r="E454" s="765">
        <v>7.8</v>
      </c>
      <c r="F454" s="765">
        <v>8.0500000000000007</v>
      </c>
      <c r="G454" s="91">
        <v>7.75</v>
      </c>
      <c r="H454" s="765">
        <v>17.27</v>
      </c>
      <c r="I454" s="765">
        <v>20.38</v>
      </c>
      <c r="J454" s="91">
        <v>17.02</v>
      </c>
      <c r="K454" s="765">
        <v>4.8600000000000003</v>
      </c>
      <c r="L454" s="765">
        <v>0</v>
      </c>
      <c r="M454" s="91">
        <v>0</v>
      </c>
      <c r="N454" s="765">
        <v>0</v>
      </c>
      <c r="O454" s="765">
        <v>0</v>
      </c>
      <c r="P454" s="91">
        <v>0</v>
      </c>
      <c r="Q454" s="765">
        <v>0</v>
      </c>
      <c r="R454" s="765">
        <v>0</v>
      </c>
      <c r="S454" s="91">
        <v>0</v>
      </c>
      <c r="T454" s="765">
        <v>0</v>
      </c>
      <c r="U454" s="765">
        <v>0</v>
      </c>
      <c r="V454" s="91">
        <v>0</v>
      </c>
      <c r="W454" s="765">
        <v>0</v>
      </c>
      <c r="X454" s="765">
        <v>0</v>
      </c>
      <c r="Y454" s="77">
        <f>SUM(B454:X454)</f>
        <v>118.69999999999999</v>
      </c>
    </row>
    <row r="455" spans="1:25" ht="15.75" thickBot="1">
      <c r="A455" s="764" t="str">
        <f>A451</f>
        <v>Stair screeding</v>
      </c>
      <c r="B455" s="765">
        <v>5.5</v>
      </c>
      <c r="C455" s="765">
        <v>5.5</v>
      </c>
      <c r="D455" s="765">
        <v>0</v>
      </c>
      <c r="E455" s="765">
        <v>0</v>
      </c>
      <c r="F455" s="765">
        <v>0</v>
      </c>
      <c r="G455" s="91">
        <v>0</v>
      </c>
      <c r="H455" s="765">
        <v>0</v>
      </c>
      <c r="I455" s="765">
        <v>0</v>
      </c>
      <c r="J455" s="91">
        <v>0</v>
      </c>
      <c r="K455" s="765">
        <v>0</v>
      </c>
      <c r="L455" s="765">
        <v>0</v>
      </c>
      <c r="M455" s="91">
        <v>0</v>
      </c>
      <c r="N455" s="765">
        <v>0</v>
      </c>
      <c r="O455" s="765">
        <v>0</v>
      </c>
      <c r="P455" s="91">
        <v>0</v>
      </c>
      <c r="Q455" s="765">
        <v>0</v>
      </c>
      <c r="R455" s="765">
        <v>0</v>
      </c>
      <c r="S455" s="91">
        <v>0</v>
      </c>
      <c r="T455" s="765">
        <v>0</v>
      </c>
      <c r="U455" s="765">
        <v>0</v>
      </c>
      <c r="V455" s="91">
        <v>0</v>
      </c>
      <c r="W455" s="765">
        <v>0</v>
      </c>
      <c r="X455" s="765">
        <v>0</v>
      </c>
      <c r="Y455" s="77">
        <f>SUM(B455:X455)</f>
        <v>11</v>
      </c>
    </row>
    <row r="457" spans="1:25" ht="15.75" thickBot="1">
      <c r="A457" s="59" t="s">
        <v>563</v>
      </c>
    </row>
    <row r="458" spans="1:25" ht="15.75" thickBot="1">
      <c r="A458" s="326" t="s">
        <v>564</v>
      </c>
      <c r="B458" s="297">
        <f>B411</f>
        <v>86.725699999999989</v>
      </c>
      <c r="C458" s="599" t="s">
        <v>84</v>
      </c>
    </row>
    <row r="459" spans="1:25" ht="15.75" thickBot="1">
      <c r="A459" s="326" t="s">
        <v>565</v>
      </c>
      <c r="B459" s="297">
        <f>B438</f>
        <v>366.34247000000005</v>
      </c>
      <c r="C459" s="599" t="s">
        <v>84</v>
      </c>
    </row>
    <row r="460" spans="1:25" ht="15.75" thickBot="1">
      <c r="A460" s="326" t="s">
        <v>566</v>
      </c>
      <c r="B460" s="297">
        <f>Y463</f>
        <v>125.19999999999999</v>
      </c>
      <c r="C460" s="599" t="s">
        <v>84</v>
      </c>
    </row>
    <row r="462" spans="1:25" ht="15.75" thickBot="1">
      <c r="A462" s="59" t="s">
        <v>566</v>
      </c>
      <c r="J462" s="102"/>
    </row>
    <row r="463" spans="1:25" ht="15.75" thickBot="1">
      <c r="A463" s="764" t="str">
        <f>A460</f>
        <v>Ceiling Paiting</v>
      </c>
      <c r="B463" s="765">
        <v>8.4</v>
      </c>
      <c r="C463" s="765">
        <v>17.850000000000001</v>
      </c>
      <c r="D463" s="765">
        <v>9.32</v>
      </c>
      <c r="E463" s="765">
        <v>7.8</v>
      </c>
      <c r="F463" s="765">
        <v>8.0500000000000007</v>
      </c>
      <c r="G463" s="91">
        <v>7.75</v>
      </c>
      <c r="H463" s="765">
        <v>17.27</v>
      </c>
      <c r="I463" s="765">
        <v>20.38</v>
      </c>
      <c r="J463" s="91">
        <v>17.02</v>
      </c>
      <c r="K463" s="765">
        <v>4.8600000000000003</v>
      </c>
      <c r="L463" s="765">
        <v>6.5</v>
      </c>
      <c r="M463" s="91">
        <v>0</v>
      </c>
      <c r="N463" s="765">
        <v>0</v>
      </c>
      <c r="O463" s="765">
        <v>0</v>
      </c>
      <c r="P463" s="91">
        <v>0</v>
      </c>
      <c r="Q463" s="765">
        <v>0</v>
      </c>
      <c r="R463" s="765">
        <v>0</v>
      </c>
      <c r="S463" s="91">
        <v>0</v>
      </c>
      <c r="T463" s="765">
        <v>0</v>
      </c>
      <c r="U463" s="765">
        <v>0</v>
      </c>
      <c r="V463" s="91">
        <v>0</v>
      </c>
      <c r="W463" s="765">
        <v>0</v>
      </c>
      <c r="X463" s="765">
        <v>0</v>
      </c>
      <c r="Y463" s="77">
        <f>SUM(B463:X463)</f>
        <v>125.19999999999999</v>
      </c>
    </row>
    <row r="465" spans="1:43" ht="15.75" thickBot="1">
      <c r="A465" s="59" t="s">
        <v>567</v>
      </c>
    </row>
    <row r="466" spans="1:43" ht="13.5" thickBot="1">
      <c r="A466" s="298" t="s">
        <v>568</v>
      </c>
      <c r="B466" s="90">
        <f>F471</f>
        <v>52.14</v>
      </c>
      <c r="C466" s="600" t="s">
        <v>84</v>
      </c>
    </row>
    <row r="467" spans="1:43" s="56" customFormat="1" ht="15.75" thickBot="1">
      <c r="A467" s="299" t="s">
        <v>382</v>
      </c>
      <c r="B467" s="300" t="s">
        <v>569</v>
      </c>
      <c r="C467" s="300" t="s">
        <v>409</v>
      </c>
      <c r="D467" s="300" t="s">
        <v>570</v>
      </c>
      <c r="E467" s="300" t="s">
        <v>571</v>
      </c>
      <c r="F467" s="301" t="s">
        <v>572</v>
      </c>
      <c r="G467" s="10"/>
      <c r="H467" s="8"/>
      <c r="I467" s="8"/>
      <c r="J467" s="127"/>
      <c r="K467" s="127"/>
      <c r="L467" s="127"/>
      <c r="M467" s="127"/>
      <c r="N467" s="127"/>
      <c r="O467" s="127"/>
      <c r="P467" s="127"/>
      <c r="Q467" s="127"/>
      <c r="R467" s="127"/>
      <c r="S467" s="127"/>
      <c r="T467" s="127"/>
      <c r="U467" s="127"/>
      <c r="V467" s="127"/>
      <c r="W467" s="127"/>
      <c r="X467" s="127"/>
      <c r="Y467" s="127"/>
      <c r="Z467" s="127"/>
      <c r="AA467" s="127"/>
      <c r="AB467" s="127"/>
      <c r="AC467" s="127"/>
      <c r="AD467" s="127"/>
      <c r="AE467" s="127"/>
      <c r="AF467" s="127"/>
      <c r="AG467" s="276"/>
      <c r="AH467" s="127"/>
      <c r="AI467" s="127"/>
      <c r="AJ467" s="127"/>
      <c r="AK467" s="127"/>
      <c r="AL467" s="127"/>
      <c r="AM467" s="127"/>
      <c r="AN467" s="127"/>
      <c r="AO467" s="127"/>
      <c r="AP467" s="127"/>
      <c r="AQ467" s="276"/>
    </row>
    <row r="468" spans="1:43">
      <c r="A468" s="61"/>
      <c r="B468" s="61"/>
      <c r="C468" s="61"/>
      <c r="D468" s="61"/>
      <c r="E468" s="61"/>
      <c r="F468" s="61"/>
    </row>
    <row r="469" spans="1:43" ht="15">
      <c r="A469" s="68" t="s">
        <v>573</v>
      </c>
      <c r="B469" s="64" t="s">
        <v>574</v>
      </c>
      <c r="C469" s="78">
        <f>Q474</f>
        <v>52.14</v>
      </c>
      <c r="D469" s="78">
        <f>Q475</f>
        <v>0</v>
      </c>
      <c r="E469" s="78">
        <f>0.1*D469</f>
        <v>0</v>
      </c>
      <c r="F469" s="79">
        <f>E469+C469</f>
        <v>52.14</v>
      </c>
      <c r="G469" s="60"/>
    </row>
    <row r="470" spans="1:43" s="56" customFormat="1" ht="15.75" thickBot="1">
      <c r="A470" s="68"/>
      <c r="B470" s="64"/>
      <c r="C470" s="78"/>
      <c r="D470" s="78"/>
      <c r="E470" s="78"/>
      <c r="F470" s="79"/>
      <c r="G470" s="60"/>
      <c r="H470" s="8"/>
      <c r="I470" s="8"/>
      <c r="J470" s="127"/>
      <c r="K470" s="127"/>
      <c r="L470" s="127"/>
      <c r="M470" s="127"/>
      <c r="N470" s="127"/>
      <c r="O470" s="127"/>
      <c r="P470" s="127"/>
      <c r="Q470" s="127"/>
      <c r="R470" s="127"/>
      <c r="S470" s="127"/>
      <c r="T470" s="127"/>
      <c r="U470" s="127"/>
      <c r="V470" s="127"/>
      <c r="W470" s="127"/>
      <c r="X470" s="127"/>
      <c r="Y470" s="127"/>
      <c r="Z470" s="127"/>
      <c r="AA470" s="127"/>
      <c r="AB470" s="127"/>
      <c r="AC470" s="127"/>
      <c r="AD470" s="127"/>
      <c r="AE470" s="127"/>
      <c r="AF470" s="127"/>
      <c r="AG470" s="276"/>
      <c r="AH470" s="127"/>
      <c r="AI470" s="127"/>
      <c r="AJ470" s="127"/>
      <c r="AK470" s="127"/>
      <c r="AL470" s="127"/>
      <c r="AM470" s="127"/>
      <c r="AN470" s="127"/>
      <c r="AO470" s="127"/>
      <c r="AP470" s="127"/>
      <c r="AQ470" s="276"/>
    </row>
    <row r="471" spans="1:43" ht="13.5" thickBot="1">
      <c r="A471" s="964" t="s">
        <v>393</v>
      </c>
      <c r="B471" s="965"/>
      <c r="C471" s="965"/>
      <c r="D471" s="965"/>
      <c r="E471" s="966"/>
      <c r="F471" s="111">
        <f>SUM(F469:F470)</f>
        <v>52.14</v>
      </c>
    </row>
    <row r="473" spans="1:43" ht="15.75" thickBot="1">
      <c r="A473" s="59" t="s">
        <v>575</v>
      </c>
    </row>
    <row r="474" spans="1:43" ht="15">
      <c r="A474" s="764" t="s">
        <v>576</v>
      </c>
      <c r="B474" s="765">
        <v>17.850000000000001</v>
      </c>
      <c r="C474" s="765">
        <v>17.27</v>
      </c>
      <c r="D474" s="765">
        <v>17.02</v>
      </c>
      <c r="E474" s="765">
        <v>0</v>
      </c>
      <c r="F474" s="765">
        <v>0</v>
      </c>
      <c r="G474" s="765">
        <v>0</v>
      </c>
      <c r="H474" s="765">
        <v>0</v>
      </c>
      <c r="I474" s="765">
        <v>0</v>
      </c>
      <c r="J474" s="765">
        <v>0</v>
      </c>
      <c r="K474" s="765">
        <v>0</v>
      </c>
      <c r="L474" s="765">
        <v>0</v>
      </c>
      <c r="M474" s="765">
        <v>0</v>
      </c>
      <c r="N474" s="765">
        <v>0</v>
      </c>
      <c r="O474" s="765">
        <v>0</v>
      </c>
      <c r="P474" s="765">
        <v>0</v>
      </c>
      <c r="Q474" s="302">
        <f>SUM(B474:P474)</f>
        <v>52.14</v>
      </c>
    </row>
    <row r="475" spans="1:43" ht="15.75" thickBot="1">
      <c r="A475" s="764" t="s">
        <v>570</v>
      </c>
      <c r="B475" s="765">
        <v>0</v>
      </c>
      <c r="C475" s="765">
        <v>0</v>
      </c>
      <c r="D475" s="765">
        <v>0</v>
      </c>
      <c r="E475" s="765">
        <v>0</v>
      </c>
      <c r="F475" s="765">
        <v>0</v>
      </c>
      <c r="G475" s="765">
        <v>0</v>
      </c>
      <c r="H475" s="765">
        <v>0</v>
      </c>
      <c r="I475" s="765">
        <v>0</v>
      </c>
      <c r="J475" s="765">
        <v>0</v>
      </c>
      <c r="K475" s="765">
        <v>0</v>
      </c>
      <c r="L475" s="765">
        <v>0</v>
      </c>
      <c r="M475" s="765">
        <v>0</v>
      </c>
      <c r="N475" s="765">
        <v>0</v>
      </c>
      <c r="O475" s="765">
        <v>0</v>
      </c>
      <c r="P475" s="765">
        <v>0</v>
      </c>
      <c r="Q475" s="303">
        <f>SUM(B475:P475)</f>
        <v>0</v>
      </c>
    </row>
    <row r="476" spans="1:43" ht="13.5" thickBot="1"/>
    <row r="477" spans="1:43" ht="13.5" thickBot="1">
      <c r="A477" s="298" t="s">
        <v>577</v>
      </c>
      <c r="B477" s="90">
        <f>D482</f>
        <v>23.66</v>
      </c>
      <c r="C477" s="83" t="s">
        <v>84</v>
      </c>
    </row>
    <row r="478" spans="1:43" ht="13.5" thickBot="1">
      <c r="A478" s="283" t="s">
        <v>382</v>
      </c>
      <c r="B478" s="284" t="s">
        <v>569</v>
      </c>
      <c r="C478" s="284" t="s">
        <v>409</v>
      </c>
      <c r="D478" s="285" t="s">
        <v>572</v>
      </c>
      <c r="E478" s="10"/>
    </row>
    <row r="479" spans="1:43" ht="15">
      <c r="A479" s="84" t="s">
        <v>578</v>
      </c>
      <c r="B479" s="66" t="s">
        <v>579</v>
      </c>
      <c r="C479" s="82">
        <f>K485</f>
        <v>23.66</v>
      </c>
      <c r="D479" s="88">
        <f>C479</f>
        <v>23.66</v>
      </c>
      <c r="E479" s="60"/>
    </row>
    <row r="480" spans="1:43" ht="15">
      <c r="A480" s="68"/>
      <c r="B480" s="85"/>
      <c r="C480" s="78"/>
      <c r="D480" s="79"/>
      <c r="E480" s="60"/>
    </row>
    <row r="481" spans="1:43" ht="15.75" thickBot="1">
      <c r="A481" s="68"/>
      <c r="B481" s="85"/>
      <c r="C481" s="78"/>
      <c r="D481" s="79"/>
      <c r="E481" s="60"/>
    </row>
    <row r="482" spans="1:43" ht="13.5" thickBot="1">
      <c r="A482" s="967" t="s">
        <v>393</v>
      </c>
      <c r="B482" s="959"/>
      <c r="C482" s="960"/>
      <c r="D482" s="111">
        <f>SUM(D479:D481)</f>
        <v>23.66</v>
      </c>
    </row>
    <row r="483" spans="1:43" s="56" customFormat="1" ht="15">
      <c r="A483" s="8"/>
      <c r="B483" s="8"/>
      <c r="C483" s="8"/>
      <c r="D483" s="8"/>
      <c r="E483" s="8"/>
      <c r="F483" s="8"/>
      <c r="G483" s="8"/>
      <c r="H483" s="8"/>
      <c r="I483" s="8"/>
      <c r="AH483" s="127"/>
      <c r="AI483" s="127"/>
      <c r="AJ483" s="127"/>
      <c r="AK483" s="127"/>
      <c r="AL483" s="127"/>
      <c r="AM483" s="127"/>
      <c r="AN483" s="127"/>
      <c r="AO483" s="127"/>
      <c r="AP483" s="127"/>
      <c r="AQ483" s="276"/>
    </row>
    <row r="484" spans="1:43" ht="15.75" thickBot="1">
      <c r="A484" s="59" t="s">
        <v>575</v>
      </c>
    </row>
    <row r="485" spans="1:43" ht="15.75" thickBot="1">
      <c r="A485" s="764" t="s">
        <v>576</v>
      </c>
      <c r="B485" s="765">
        <v>8.1300000000000008</v>
      </c>
      <c r="C485" s="765">
        <v>7.78</v>
      </c>
      <c r="D485" s="765">
        <v>7.75</v>
      </c>
      <c r="E485" s="765">
        <v>0</v>
      </c>
      <c r="F485" s="765">
        <v>0</v>
      </c>
      <c r="G485" s="765">
        <v>0</v>
      </c>
      <c r="H485" s="765">
        <v>0</v>
      </c>
      <c r="I485" s="765">
        <v>0</v>
      </c>
      <c r="J485" s="765">
        <v>0</v>
      </c>
      <c r="K485" s="282">
        <f>SUM(B485:J485)</f>
        <v>23.66</v>
      </c>
      <c r="L485" s="278"/>
      <c r="M485" s="127"/>
      <c r="N485" s="127"/>
      <c r="O485" s="127"/>
      <c r="P485" s="127"/>
      <c r="Q485" s="127"/>
      <c r="R485" s="127"/>
      <c r="S485" s="127"/>
      <c r="T485" s="127"/>
      <c r="U485" s="127"/>
      <c r="V485" s="127"/>
      <c r="W485" s="127"/>
      <c r="X485" s="127"/>
      <c r="Y485" s="127"/>
      <c r="Z485" s="127"/>
      <c r="AA485" s="127"/>
      <c r="AB485" s="127"/>
      <c r="AC485" s="127"/>
      <c r="AD485" s="127"/>
      <c r="AE485" s="127"/>
      <c r="AF485" s="127"/>
    </row>
    <row r="487" spans="1:43" ht="13.5" thickBot="1"/>
    <row r="488" spans="1:43" ht="13.5" thickBot="1">
      <c r="A488" s="304" t="s">
        <v>580</v>
      </c>
      <c r="B488" s="86">
        <f>E494</f>
        <v>87.33</v>
      </c>
      <c r="C488" s="87" t="s">
        <v>84</v>
      </c>
    </row>
    <row r="489" spans="1:43" ht="13.5" thickBot="1">
      <c r="A489" s="283" t="s">
        <v>382</v>
      </c>
      <c r="B489" s="284" t="s">
        <v>569</v>
      </c>
      <c r="C489" s="305" t="s">
        <v>383</v>
      </c>
      <c r="D489" s="305" t="s">
        <v>385</v>
      </c>
      <c r="E489" s="285" t="s">
        <v>572</v>
      </c>
    </row>
    <row r="490" spans="1:43" ht="15">
      <c r="A490" s="84" t="s">
        <v>581</v>
      </c>
      <c r="B490" s="66" t="s">
        <v>582</v>
      </c>
      <c r="C490" s="82">
        <f>K497</f>
        <v>36.564</v>
      </c>
      <c r="D490" s="88">
        <v>2.5</v>
      </c>
      <c r="E490" s="88">
        <f>D490*C490</f>
        <v>91.41</v>
      </c>
    </row>
    <row r="491" spans="1:43" ht="15">
      <c r="A491" s="68"/>
      <c r="B491" s="85"/>
      <c r="C491" s="78"/>
      <c r="D491" s="79"/>
      <c r="E491" s="79"/>
    </row>
    <row r="492" spans="1:43" s="56" customFormat="1" ht="15">
      <c r="A492" s="279" t="s">
        <v>583</v>
      </c>
      <c r="B492" s="85"/>
      <c r="C492" s="78">
        <v>0</v>
      </c>
      <c r="D492" s="79">
        <v>0</v>
      </c>
      <c r="E492" s="79">
        <f>K498</f>
        <v>4.08</v>
      </c>
      <c r="F492" s="8"/>
      <c r="G492" s="8"/>
      <c r="H492" s="8"/>
      <c r="I492" s="8"/>
      <c r="AH492" s="127"/>
      <c r="AI492" s="127"/>
      <c r="AJ492" s="127"/>
      <c r="AK492" s="127"/>
      <c r="AL492" s="127"/>
      <c r="AM492" s="127"/>
      <c r="AN492" s="127"/>
      <c r="AO492" s="127"/>
      <c r="AP492" s="127"/>
      <c r="AQ492" s="276"/>
    </row>
    <row r="493" spans="1:43" ht="15.75" thickBot="1">
      <c r="A493" s="68"/>
      <c r="B493" s="85"/>
      <c r="C493" s="78"/>
      <c r="D493" s="79"/>
      <c r="E493" s="79"/>
    </row>
    <row r="494" spans="1:43" ht="13.5" thickBot="1">
      <c r="A494" s="967" t="s">
        <v>393</v>
      </c>
      <c r="B494" s="959"/>
      <c r="C494" s="959"/>
      <c r="D494" s="960"/>
      <c r="E494" s="111">
        <f>E490-E492</f>
        <v>87.33</v>
      </c>
    </row>
    <row r="496" spans="1:43" ht="15.75" thickBot="1">
      <c r="A496" s="59" t="s">
        <v>584</v>
      </c>
    </row>
    <row r="497" spans="1:32" ht="15.75" thickBot="1">
      <c r="A497" s="764" t="s">
        <v>383</v>
      </c>
      <c r="B497" s="765">
        <v>12.564</v>
      </c>
      <c r="C497" s="765">
        <v>12</v>
      </c>
      <c r="D497" s="765">
        <v>12</v>
      </c>
      <c r="E497" s="765">
        <v>0</v>
      </c>
      <c r="F497" s="765">
        <v>0</v>
      </c>
      <c r="G497" s="765">
        <v>0</v>
      </c>
      <c r="H497" s="765">
        <v>0</v>
      </c>
      <c r="I497" s="765">
        <v>0</v>
      </c>
      <c r="J497" s="765">
        <v>0</v>
      </c>
      <c r="K497" s="282">
        <f>SUM(B497:J497)</f>
        <v>36.564</v>
      </c>
      <c r="L497" s="278"/>
      <c r="M497" s="127"/>
      <c r="N497" s="127"/>
      <c r="O497" s="127"/>
      <c r="P497" s="127"/>
      <c r="Q497" s="127"/>
      <c r="R497" s="127"/>
      <c r="S497" s="127"/>
      <c r="T497" s="127"/>
      <c r="U497" s="127"/>
      <c r="V497" s="127"/>
      <c r="W497" s="127"/>
      <c r="X497" s="127"/>
      <c r="Y497" s="127"/>
      <c r="Z497" s="127"/>
      <c r="AA497" s="127"/>
      <c r="AB497" s="127"/>
      <c r="AC497" s="127"/>
      <c r="AD497" s="127"/>
      <c r="AE497" s="127"/>
      <c r="AF497" s="127"/>
    </row>
    <row r="498" spans="1:32" ht="15.75" thickBot="1">
      <c r="A498" s="764" t="s">
        <v>447</v>
      </c>
      <c r="B498" s="768">
        <v>1.36</v>
      </c>
      <c r="C498" s="768">
        <v>1.36</v>
      </c>
      <c r="D498" s="768">
        <v>1.36</v>
      </c>
      <c r="E498" s="768">
        <v>0</v>
      </c>
      <c r="F498" s="768">
        <v>0</v>
      </c>
      <c r="G498" s="768">
        <v>0</v>
      </c>
      <c r="H498" s="768">
        <v>0</v>
      </c>
      <c r="I498" s="768">
        <v>0</v>
      </c>
      <c r="J498" s="765">
        <v>0</v>
      </c>
      <c r="K498" s="282">
        <f>SUM(B498:J498)</f>
        <v>4.08</v>
      </c>
      <c r="L498" s="278"/>
      <c r="M498" s="127"/>
      <c r="N498" s="127"/>
      <c r="O498" s="127"/>
      <c r="P498" s="127"/>
      <c r="Q498" s="127"/>
      <c r="R498" s="127"/>
      <c r="S498" s="127"/>
      <c r="T498" s="127"/>
      <c r="U498" s="127"/>
      <c r="V498" s="127"/>
      <c r="W498" s="127"/>
      <c r="X498" s="127"/>
      <c r="Y498" s="127"/>
      <c r="Z498" s="127"/>
      <c r="AA498" s="127"/>
      <c r="AB498" s="127"/>
      <c r="AC498" s="127"/>
      <c r="AD498" s="127"/>
      <c r="AE498" s="127"/>
      <c r="AF498" s="127"/>
    </row>
    <row r="500" spans="1:32" ht="13.5" thickBot="1"/>
    <row r="501" spans="1:32" ht="13.5" thickBot="1">
      <c r="A501" s="304" t="s">
        <v>585</v>
      </c>
      <c r="B501" s="325">
        <f>E507</f>
        <v>9.8604000000000003</v>
      </c>
      <c r="C501" s="87" t="s">
        <v>84</v>
      </c>
    </row>
    <row r="502" spans="1:32" ht="13.5" thickBot="1">
      <c r="A502" s="283" t="s">
        <v>382</v>
      </c>
      <c r="B502" s="305" t="s">
        <v>291</v>
      </c>
      <c r="C502" s="305" t="s">
        <v>383</v>
      </c>
      <c r="D502" s="305" t="s">
        <v>385</v>
      </c>
      <c r="E502" s="285" t="s">
        <v>572</v>
      </c>
    </row>
    <row r="503" spans="1:32" ht="15">
      <c r="A503" s="84" t="s">
        <v>586</v>
      </c>
      <c r="B503" s="66">
        <v>1</v>
      </c>
      <c r="C503" s="82">
        <v>2.75</v>
      </c>
      <c r="D503" s="601">
        <v>2</v>
      </c>
      <c r="E503" s="88">
        <f>B503*C503*D503</f>
        <v>5.5</v>
      </c>
    </row>
    <row r="504" spans="1:32" ht="15">
      <c r="A504" s="68" t="s">
        <v>587</v>
      </c>
      <c r="B504" s="85">
        <v>20</v>
      </c>
      <c r="C504" s="78">
        <v>0.98799999999999999</v>
      </c>
      <c r="D504" s="602">
        <v>0.16500000000000001</v>
      </c>
      <c r="E504" s="79">
        <f>D504*C504*B504</f>
        <v>3.2603999999999997</v>
      </c>
    </row>
    <row r="505" spans="1:32" ht="15">
      <c r="A505" s="68" t="s">
        <v>588</v>
      </c>
      <c r="B505" s="85">
        <v>1</v>
      </c>
      <c r="C505" s="78">
        <f>K510</f>
        <v>11</v>
      </c>
      <c r="D505" s="602">
        <v>0.1</v>
      </c>
      <c r="E505" s="79">
        <f>D505*C505*B505</f>
        <v>1.1000000000000001</v>
      </c>
    </row>
    <row r="506" spans="1:32" ht="15.75" thickBot="1">
      <c r="A506" s="68"/>
      <c r="B506" s="85"/>
      <c r="C506" s="78"/>
      <c r="D506" s="79"/>
      <c r="E506" s="79"/>
    </row>
    <row r="507" spans="1:32" ht="13.5" thickBot="1">
      <c r="A507" s="967" t="s">
        <v>393</v>
      </c>
      <c r="B507" s="959"/>
      <c r="C507" s="959"/>
      <c r="D507" s="960"/>
      <c r="E507" s="111">
        <f>SUM(E503:E506)</f>
        <v>9.8604000000000003</v>
      </c>
    </row>
    <row r="509" spans="1:32" ht="15.75" thickBot="1">
      <c r="A509" s="59" t="s">
        <v>113</v>
      </c>
    </row>
    <row r="510" spans="1:32" ht="15.75" thickBot="1">
      <c r="A510" s="769" t="s">
        <v>588</v>
      </c>
      <c r="B510" s="765">
        <v>4.2</v>
      </c>
      <c r="C510" s="765">
        <v>4.2</v>
      </c>
      <c r="D510" s="765">
        <v>2.6</v>
      </c>
      <c r="E510" s="765">
        <v>0</v>
      </c>
      <c r="F510" s="765">
        <v>0</v>
      </c>
      <c r="G510" s="765">
        <v>0</v>
      </c>
      <c r="H510" s="765">
        <v>0</v>
      </c>
      <c r="I510" s="765">
        <v>0</v>
      </c>
      <c r="J510" s="765">
        <v>0</v>
      </c>
      <c r="K510" s="282">
        <f>SUM(B510:J510)</f>
        <v>11</v>
      </c>
      <c r="L510" s="278"/>
      <c r="M510" s="127"/>
      <c r="N510" s="127"/>
      <c r="O510" s="127"/>
      <c r="P510" s="127"/>
      <c r="Q510" s="127"/>
      <c r="R510" s="127"/>
      <c r="S510" s="127"/>
      <c r="T510" s="127"/>
      <c r="U510" s="127"/>
      <c r="V510" s="127"/>
      <c r="W510" s="127"/>
      <c r="X510" s="127"/>
      <c r="Y510" s="127"/>
      <c r="Z510" s="127"/>
      <c r="AA510" s="127"/>
      <c r="AB510" s="127"/>
      <c r="AC510" s="127"/>
      <c r="AD510" s="127"/>
      <c r="AE510" s="127"/>
      <c r="AF510" s="127"/>
    </row>
    <row r="511" spans="1:32" ht="15.75" customHeight="1" thickBot="1"/>
    <row r="512" spans="1:32" ht="13.5" thickBot="1">
      <c r="A512" s="304" t="s">
        <v>589</v>
      </c>
      <c r="B512" s="325">
        <v>4.2</v>
      </c>
      <c r="C512" s="87" t="s">
        <v>84</v>
      </c>
    </row>
    <row r="513" spans="1:43" ht="13.5" thickBot="1">
      <c r="A513" s="283" t="s">
        <v>382</v>
      </c>
      <c r="B513" s="305" t="s">
        <v>291</v>
      </c>
      <c r="C513" s="305" t="s">
        <v>383</v>
      </c>
      <c r="D513" s="305" t="s">
        <v>385</v>
      </c>
      <c r="E513" s="285" t="s">
        <v>572</v>
      </c>
    </row>
    <row r="514" spans="1:43" ht="15">
      <c r="A514" s="84" t="s">
        <v>590</v>
      </c>
      <c r="B514" s="66">
        <v>0</v>
      </c>
      <c r="C514" s="82">
        <v>0</v>
      </c>
      <c r="D514" s="88">
        <v>0</v>
      </c>
      <c r="E514" s="79">
        <f>D514*C514*B514</f>
        <v>0</v>
      </c>
    </row>
    <row r="515" spans="1:43" ht="15">
      <c r="A515" s="68" t="s">
        <v>591</v>
      </c>
      <c r="B515" s="85">
        <v>0</v>
      </c>
      <c r="C515" s="78">
        <v>0</v>
      </c>
      <c r="D515" s="79">
        <v>0</v>
      </c>
      <c r="E515" s="79">
        <f>D515*C515*B515</f>
        <v>0</v>
      </c>
    </row>
    <row r="516" spans="1:43" ht="15">
      <c r="A516" s="68" t="s">
        <v>592</v>
      </c>
      <c r="B516" s="85">
        <v>0</v>
      </c>
      <c r="C516" s="78">
        <v>0</v>
      </c>
      <c r="D516" s="79">
        <v>0</v>
      </c>
      <c r="E516" s="79">
        <f>D516*C516*B516</f>
        <v>0</v>
      </c>
    </row>
    <row r="517" spans="1:43" ht="15.75" thickBot="1">
      <c r="A517" s="68"/>
      <c r="B517" s="85">
        <v>0</v>
      </c>
      <c r="C517" s="78"/>
      <c r="D517" s="79"/>
      <c r="E517" s="79"/>
    </row>
    <row r="518" spans="1:43" ht="13.5" thickBot="1">
      <c r="A518" s="967" t="s">
        <v>393</v>
      </c>
      <c r="B518" s="959"/>
      <c r="C518" s="959"/>
      <c r="D518" s="960"/>
      <c r="E518" s="111">
        <f>SUM(E514:E517)</f>
        <v>0</v>
      </c>
    </row>
    <row r="521" spans="1:43" s="56" customFormat="1" ht="15.75" thickBot="1">
      <c r="A521" s="59" t="s">
        <v>593</v>
      </c>
      <c r="B521" s="8"/>
      <c r="C521" s="8"/>
      <c r="D521" s="8"/>
      <c r="E521" s="8"/>
      <c r="F521" s="8"/>
      <c r="G521" s="8"/>
      <c r="H521" s="8"/>
      <c r="I521" s="8"/>
      <c r="J521" s="127"/>
      <c r="K521" s="127"/>
      <c r="L521" s="127"/>
      <c r="M521" s="127"/>
      <c r="N521" s="127"/>
      <c r="O521" s="127"/>
      <c r="P521" s="127"/>
      <c r="Q521" s="127"/>
      <c r="R521" s="127"/>
      <c r="S521" s="127"/>
      <c r="T521" s="127"/>
      <c r="U521" s="127"/>
      <c r="V521" s="127"/>
      <c r="W521" s="127"/>
      <c r="X521" s="127"/>
      <c r="Y521" s="127"/>
      <c r="Z521" s="127"/>
      <c r="AA521" s="127"/>
      <c r="AB521" s="127"/>
      <c r="AC521" s="127"/>
      <c r="AD521" s="127"/>
      <c r="AE521" s="127"/>
      <c r="AF521" s="276"/>
      <c r="AG521" s="127"/>
      <c r="AH521" s="127"/>
      <c r="AI521" s="127"/>
      <c r="AJ521" s="127"/>
      <c r="AK521" s="127"/>
      <c r="AL521" s="127"/>
      <c r="AM521" s="127"/>
      <c r="AN521" s="127"/>
      <c r="AO521" s="127"/>
      <c r="AP521" s="127"/>
      <c r="AQ521" s="276"/>
    </row>
    <row r="522" spans="1:43" s="56" customFormat="1" ht="15.75" thickBot="1">
      <c r="A522" s="764" t="s">
        <v>594</v>
      </c>
      <c r="B522" s="767">
        <f>K525</f>
        <v>23.66</v>
      </c>
      <c r="C522" s="282" t="s">
        <v>84</v>
      </c>
      <c r="D522" s="275" t="s">
        <v>595</v>
      </c>
      <c r="E522" s="127"/>
      <c r="F522" s="127"/>
      <c r="G522" s="276"/>
      <c r="H522" s="127"/>
      <c r="I522" s="127"/>
      <c r="J522" s="281"/>
      <c r="K522" s="281"/>
      <c r="L522" s="281"/>
      <c r="M522" s="281"/>
      <c r="N522" s="281"/>
      <c r="O522" s="281"/>
      <c r="P522" s="281"/>
      <c r="Q522" s="281"/>
      <c r="R522" s="281"/>
      <c r="S522" s="281"/>
      <c r="T522" s="281"/>
      <c r="U522" s="281"/>
      <c r="V522" s="281"/>
      <c r="W522" s="281"/>
      <c r="X522" s="281"/>
      <c r="Y522" s="281"/>
      <c r="Z522" s="281"/>
      <c r="AA522" s="281"/>
      <c r="AB522" s="281"/>
      <c r="AC522" s="281"/>
      <c r="AD522" s="281"/>
      <c r="AE522" s="281"/>
      <c r="AF522" s="276"/>
      <c r="AG522" s="127"/>
      <c r="AH522" s="127"/>
      <c r="AI522" s="127"/>
      <c r="AJ522" s="127"/>
      <c r="AK522" s="127"/>
      <c r="AL522" s="127"/>
      <c r="AM522" s="127"/>
      <c r="AN522" s="127"/>
      <c r="AO522" s="127"/>
      <c r="AP522" s="127"/>
      <c r="AQ522" s="276"/>
    </row>
    <row r="523" spans="1:43" s="56" customFormat="1" ht="15">
      <c r="A523" s="8"/>
      <c r="B523" s="8"/>
      <c r="C523" s="8"/>
      <c r="D523" s="8"/>
      <c r="E523" s="8"/>
      <c r="F523" s="8"/>
      <c r="G523" s="8"/>
      <c r="H523" s="8"/>
      <c r="I523" s="8"/>
      <c r="J523" s="127"/>
      <c r="K523" s="127"/>
      <c r="L523" s="127"/>
      <c r="M523" s="127"/>
      <c r="N523" s="127"/>
      <c r="O523" s="127"/>
      <c r="P523" s="127"/>
      <c r="Q523" s="127"/>
      <c r="R523" s="127"/>
      <c r="S523" s="127"/>
      <c r="T523" s="127"/>
      <c r="U523" s="127"/>
      <c r="V523" s="127"/>
      <c r="W523" s="127"/>
      <c r="X523" s="127"/>
      <c r="Y523" s="127"/>
      <c r="Z523" s="127"/>
      <c r="AA523" s="127"/>
      <c r="AB523" s="127"/>
      <c r="AC523" s="127"/>
      <c r="AD523" s="127"/>
      <c r="AE523" s="127"/>
      <c r="AF523" s="276"/>
      <c r="AG523" s="127"/>
      <c r="AH523" s="127"/>
      <c r="AI523" s="127"/>
      <c r="AJ523" s="127"/>
      <c r="AK523" s="127"/>
      <c r="AL523" s="127"/>
      <c r="AM523" s="127"/>
      <c r="AN523" s="127"/>
      <c r="AO523" s="127"/>
      <c r="AP523" s="127"/>
      <c r="AQ523" s="276"/>
    </row>
    <row r="524" spans="1:43" ht="15.75" thickBot="1">
      <c r="A524" s="59" t="s">
        <v>409</v>
      </c>
    </row>
    <row r="525" spans="1:43" ht="15.75" thickBot="1">
      <c r="A525" s="764" t="str">
        <f>A522</f>
        <v>Gypsum ceiling</v>
      </c>
      <c r="B525" s="765">
        <v>8.1300000000000008</v>
      </c>
      <c r="C525" s="765">
        <v>7.78</v>
      </c>
      <c r="D525" s="765">
        <v>7.75</v>
      </c>
      <c r="E525" s="765">
        <v>0</v>
      </c>
      <c r="F525" s="765">
        <v>0</v>
      </c>
      <c r="G525" s="91">
        <v>0</v>
      </c>
      <c r="H525" s="765">
        <v>0</v>
      </c>
      <c r="I525" s="765">
        <v>0</v>
      </c>
      <c r="J525" s="765">
        <v>0</v>
      </c>
      <c r="K525" s="282">
        <f>SUM(B525:J525)</f>
        <v>23.66</v>
      </c>
      <c r="L525" s="306"/>
      <c r="Y525" s="102"/>
    </row>
    <row r="527" spans="1:43" ht="13.5" thickBot="1"/>
    <row r="528" spans="1:43" ht="13.5" thickBot="1">
      <c r="A528" s="304" t="s">
        <v>596</v>
      </c>
      <c r="B528" s="86"/>
      <c r="C528" s="87"/>
    </row>
    <row r="529" spans="1:43" ht="13.5" thickBot="1">
      <c r="A529" s="283" t="s">
        <v>382</v>
      </c>
      <c r="B529" s="305" t="s">
        <v>624</v>
      </c>
      <c r="C529" s="305" t="s">
        <v>625</v>
      </c>
      <c r="D529" s="305" t="s">
        <v>626</v>
      </c>
      <c r="E529" s="308" t="s">
        <v>572</v>
      </c>
      <c r="F529" s="604"/>
      <c r="G529" s="18"/>
      <c r="H529" s="18"/>
      <c r="I529" s="18"/>
      <c r="J529" s="18"/>
    </row>
    <row r="530" spans="1:43" s="56" customFormat="1" ht="15">
      <c r="A530" s="84"/>
      <c r="B530" s="66"/>
      <c r="C530" s="82"/>
      <c r="D530" s="82"/>
      <c r="E530" s="82"/>
      <c r="F530" s="74"/>
      <c r="G530" s="75"/>
      <c r="H530" s="75"/>
      <c r="I530" s="75"/>
      <c r="J530" s="75"/>
      <c r="K530" s="127"/>
      <c r="L530" s="127"/>
      <c r="M530" s="127"/>
      <c r="N530" s="127"/>
      <c r="O530" s="127"/>
      <c r="P530" s="127"/>
      <c r="Q530" s="127"/>
      <c r="R530" s="127"/>
      <c r="S530" s="127"/>
      <c r="T530" s="127"/>
      <c r="U530" s="127"/>
      <c r="V530" s="127"/>
      <c r="W530" s="127"/>
      <c r="X530" s="127"/>
      <c r="Y530" s="127"/>
      <c r="Z530" s="127"/>
      <c r="AA530" s="127"/>
      <c r="AB530" s="127"/>
      <c r="AC530" s="127"/>
      <c r="AD530" s="127"/>
      <c r="AE530" s="127"/>
      <c r="AF530" s="127"/>
      <c r="AG530" s="276"/>
      <c r="AH530" s="127"/>
      <c r="AI530" s="127"/>
      <c r="AJ530" s="127"/>
      <c r="AK530" s="127"/>
      <c r="AL530" s="127"/>
      <c r="AM530" s="127"/>
      <c r="AN530" s="127"/>
      <c r="AO530" s="127"/>
      <c r="AP530" s="127"/>
      <c r="AQ530" s="276"/>
    </row>
    <row r="531" spans="1:43">
      <c r="A531" s="68" t="s">
        <v>599</v>
      </c>
      <c r="B531" s="309">
        <v>1</v>
      </c>
      <c r="C531" s="309">
        <v>1</v>
      </c>
      <c r="D531" s="309">
        <v>1</v>
      </c>
      <c r="E531" s="324">
        <f>B531+C531+D531</f>
        <v>3</v>
      </c>
      <c r="F531" s="603"/>
      <c r="G531" s="307"/>
      <c r="H531" s="307"/>
      <c r="I531" s="307"/>
      <c r="J531" s="307"/>
    </row>
    <row r="532" spans="1:43">
      <c r="A532" s="68" t="s">
        <v>601</v>
      </c>
      <c r="B532" s="309">
        <v>1</v>
      </c>
      <c r="C532" s="309">
        <v>1</v>
      </c>
      <c r="D532" s="309">
        <v>1</v>
      </c>
      <c r="E532" s="324">
        <f t="shared" ref="E532:E542" si="42">B532+C532+D532</f>
        <v>3</v>
      </c>
      <c r="F532" s="603"/>
      <c r="G532" s="307"/>
      <c r="H532" s="307"/>
      <c r="I532" s="307"/>
      <c r="J532" s="307"/>
    </row>
    <row r="533" spans="1:43" s="56" customFormat="1" ht="15">
      <c r="A533" s="68" t="s">
        <v>602</v>
      </c>
      <c r="B533" s="309">
        <v>1</v>
      </c>
      <c r="C533" s="309">
        <v>1</v>
      </c>
      <c r="D533" s="309">
        <v>1</v>
      </c>
      <c r="E533" s="324">
        <f t="shared" si="42"/>
        <v>3</v>
      </c>
      <c r="F533" s="603"/>
      <c r="G533" s="307"/>
      <c r="H533" s="307"/>
      <c r="I533" s="307"/>
      <c r="J533" s="307"/>
      <c r="K533" s="127"/>
      <c r="L533" s="127"/>
      <c r="M533" s="127"/>
      <c r="N533" s="127"/>
      <c r="O533" s="127"/>
      <c r="P533" s="127"/>
      <c r="Q533" s="127"/>
      <c r="R533" s="127"/>
      <c r="S533" s="127"/>
      <c r="T533" s="127"/>
      <c r="U533" s="127"/>
      <c r="V533" s="127"/>
      <c r="W533" s="127"/>
      <c r="X533" s="127"/>
      <c r="Y533" s="127"/>
      <c r="Z533" s="127"/>
      <c r="AA533" s="127"/>
      <c r="AB533" s="127"/>
      <c r="AC533" s="127"/>
      <c r="AD533" s="127"/>
      <c r="AE533" s="127"/>
      <c r="AF533" s="127"/>
      <c r="AG533" s="276"/>
      <c r="AH533" s="127"/>
      <c r="AI533" s="127"/>
      <c r="AJ533" s="127"/>
      <c r="AK533" s="127"/>
      <c r="AL533" s="127"/>
      <c r="AM533" s="127"/>
      <c r="AN533" s="127"/>
      <c r="AO533" s="127"/>
      <c r="AP533" s="127"/>
      <c r="AQ533" s="276"/>
    </row>
    <row r="534" spans="1:43">
      <c r="A534" s="68" t="s">
        <v>603</v>
      </c>
      <c r="B534" s="309">
        <v>1</v>
      </c>
      <c r="C534" s="309">
        <v>1</v>
      </c>
      <c r="D534" s="309">
        <v>1</v>
      </c>
      <c r="E534" s="324">
        <f t="shared" si="42"/>
        <v>3</v>
      </c>
      <c r="F534" s="603"/>
      <c r="G534" s="307"/>
      <c r="H534" s="307"/>
      <c r="I534" s="307"/>
      <c r="J534" s="307"/>
    </row>
    <row r="535" spans="1:43">
      <c r="A535" s="68" t="s">
        <v>604</v>
      </c>
      <c r="B535" s="309">
        <v>1</v>
      </c>
      <c r="C535" s="309">
        <v>1</v>
      </c>
      <c r="D535" s="309">
        <v>1</v>
      </c>
      <c r="E535" s="324">
        <f t="shared" si="42"/>
        <v>3</v>
      </c>
      <c r="F535" s="603"/>
      <c r="G535" s="307"/>
      <c r="H535" s="307"/>
      <c r="I535" s="307"/>
      <c r="J535" s="307"/>
    </row>
    <row r="536" spans="1:43">
      <c r="A536" s="68" t="s">
        <v>606</v>
      </c>
      <c r="B536" s="309">
        <v>3</v>
      </c>
      <c r="C536" s="309">
        <v>3</v>
      </c>
      <c r="D536" s="309">
        <v>3</v>
      </c>
      <c r="E536" s="324">
        <f t="shared" si="42"/>
        <v>9</v>
      </c>
      <c r="F536" s="603"/>
      <c r="G536" s="307"/>
      <c r="H536" s="307"/>
      <c r="I536" s="307"/>
      <c r="J536" s="307"/>
    </row>
    <row r="537" spans="1:43">
      <c r="A537" s="68" t="s">
        <v>607</v>
      </c>
      <c r="B537" s="309">
        <v>1</v>
      </c>
      <c r="C537" s="309">
        <v>1</v>
      </c>
      <c r="D537" s="309">
        <v>1</v>
      </c>
      <c r="E537" s="324">
        <f t="shared" si="42"/>
        <v>3</v>
      </c>
      <c r="F537" s="603"/>
      <c r="G537" s="307"/>
      <c r="H537" s="307"/>
      <c r="I537" s="307"/>
      <c r="J537" s="307"/>
    </row>
    <row r="538" spans="1:43">
      <c r="A538" s="68" t="s">
        <v>608</v>
      </c>
      <c r="B538" s="309">
        <v>1</v>
      </c>
      <c r="C538" s="309">
        <v>1</v>
      </c>
      <c r="D538" s="309">
        <v>1</v>
      </c>
      <c r="E538" s="324">
        <f t="shared" si="42"/>
        <v>3</v>
      </c>
      <c r="F538" s="603"/>
      <c r="G538" s="307"/>
      <c r="H538" s="307"/>
      <c r="I538" s="307"/>
      <c r="J538" s="307"/>
    </row>
    <row r="539" spans="1:43">
      <c r="A539" s="68" t="s">
        <v>609</v>
      </c>
      <c r="B539" s="309">
        <v>1</v>
      </c>
      <c r="C539" s="309">
        <v>1</v>
      </c>
      <c r="D539" s="309">
        <v>1</v>
      </c>
      <c r="E539" s="324">
        <f t="shared" si="42"/>
        <v>3</v>
      </c>
      <c r="F539" s="603"/>
      <c r="G539" s="307"/>
      <c r="H539" s="307"/>
      <c r="I539" s="307"/>
      <c r="J539" s="307"/>
    </row>
    <row r="540" spans="1:43">
      <c r="A540" s="68" t="s">
        <v>610</v>
      </c>
      <c r="B540" s="309">
        <v>1</v>
      </c>
      <c r="C540" s="309">
        <v>1</v>
      </c>
      <c r="D540" s="309">
        <v>1</v>
      </c>
      <c r="E540" s="324">
        <f t="shared" si="42"/>
        <v>3</v>
      </c>
      <c r="F540" s="603"/>
      <c r="G540" s="307"/>
      <c r="H540" s="307"/>
      <c r="I540" s="307"/>
      <c r="J540" s="307"/>
    </row>
    <row r="541" spans="1:43">
      <c r="A541" s="68" t="s">
        <v>611</v>
      </c>
      <c r="B541" s="309">
        <v>1</v>
      </c>
      <c r="C541" s="309">
        <v>1</v>
      </c>
      <c r="D541" s="309">
        <v>1</v>
      </c>
      <c r="E541" s="324">
        <f t="shared" si="42"/>
        <v>3</v>
      </c>
      <c r="F541" s="603"/>
      <c r="G541" s="307"/>
      <c r="H541" s="307"/>
      <c r="I541" s="307"/>
      <c r="J541" s="307"/>
    </row>
    <row r="542" spans="1:43">
      <c r="A542" s="68" t="s">
        <v>627</v>
      </c>
      <c r="B542" s="309">
        <v>1</v>
      </c>
      <c r="C542" s="309">
        <v>1</v>
      </c>
      <c r="D542" s="309">
        <v>1</v>
      </c>
      <c r="E542" s="324">
        <f t="shared" si="42"/>
        <v>3</v>
      </c>
      <c r="F542" s="603"/>
      <c r="G542" s="307"/>
      <c r="H542" s="307"/>
      <c r="I542" s="307"/>
      <c r="J542" s="307"/>
    </row>
    <row r="543" spans="1:43" ht="13.5" thickBot="1">
      <c r="A543" s="71"/>
      <c r="B543" s="89"/>
      <c r="C543" s="80"/>
      <c r="D543" s="80"/>
      <c r="E543" s="80"/>
      <c r="F543" s="74"/>
      <c r="G543" s="75"/>
      <c r="H543" s="75"/>
      <c r="I543" s="75"/>
      <c r="J543" s="75"/>
    </row>
    <row r="546" spans="1:43" s="56" customFormat="1" ht="15.75" thickBot="1">
      <c r="A546" s="59" t="s">
        <v>612</v>
      </c>
      <c r="B546" s="8"/>
      <c r="C546" s="8"/>
      <c r="D546" s="8"/>
      <c r="E546" s="8"/>
      <c r="F546" s="8"/>
      <c r="G546" s="8"/>
      <c r="H546" s="8"/>
      <c r="I546" s="8"/>
      <c r="J546" s="127"/>
      <c r="K546" s="127"/>
      <c r="L546" s="127"/>
      <c r="M546" s="127"/>
      <c r="N546" s="127"/>
      <c r="O546" s="127"/>
      <c r="P546" s="127"/>
      <c r="Q546" s="127"/>
      <c r="R546" s="127"/>
      <c r="S546" s="127"/>
      <c r="T546" s="127"/>
      <c r="U546" s="127"/>
      <c r="V546" s="127"/>
      <c r="W546" s="127"/>
      <c r="X546" s="127"/>
      <c r="Y546" s="127"/>
      <c r="Z546" s="127"/>
      <c r="AA546" s="127"/>
      <c r="AB546" s="127"/>
      <c r="AC546" s="127"/>
      <c r="AD546" s="127"/>
      <c r="AE546" s="127"/>
      <c r="AF546" s="276"/>
      <c r="AG546" s="127"/>
      <c r="AH546" s="127"/>
      <c r="AI546" s="127"/>
      <c r="AJ546" s="127"/>
      <c r="AK546" s="127"/>
      <c r="AL546" s="127"/>
      <c r="AM546" s="127"/>
      <c r="AN546" s="127"/>
      <c r="AO546" s="127"/>
      <c r="AP546" s="127"/>
      <c r="AQ546" s="276"/>
    </row>
    <row r="547" spans="1:43" s="56" customFormat="1" ht="15.75" thickBot="1">
      <c r="A547" s="769" t="s">
        <v>613</v>
      </c>
      <c r="B547" s="767">
        <f>K550</f>
        <v>14.733000000000001</v>
      </c>
      <c r="C547" s="282" t="s">
        <v>614</v>
      </c>
      <c r="D547" s="275"/>
      <c r="E547" s="127"/>
      <c r="F547" s="127"/>
      <c r="G547" s="276"/>
      <c r="H547" s="127"/>
      <c r="I547" s="127"/>
      <c r="J547" s="281"/>
      <c r="K547" s="281"/>
      <c r="L547" s="281"/>
      <c r="M547" s="281"/>
      <c r="N547" s="281"/>
      <c r="O547" s="281"/>
      <c r="P547" s="281"/>
      <c r="Q547" s="281"/>
      <c r="R547" s="281"/>
      <c r="S547" s="281"/>
      <c r="T547" s="281"/>
      <c r="U547" s="281"/>
      <c r="V547" s="281"/>
      <c r="W547" s="281"/>
      <c r="X547" s="281"/>
      <c r="Y547" s="281"/>
      <c r="Z547" s="281"/>
      <c r="AA547" s="281"/>
      <c r="AB547" s="281"/>
      <c r="AC547" s="281"/>
      <c r="AD547" s="281"/>
      <c r="AE547" s="281"/>
      <c r="AF547" s="276"/>
      <c r="AG547" s="127"/>
      <c r="AH547" s="127"/>
      <c r="AI547" s="127"/>
      <c r="AJ547" s="127"/>
      <c r="AK547" s="127"/>
      <c r="AL547" s="127"/>
      <c r="AM547" s="127"/>
      <c r="AN547" s="127"/>
      <c r="AO547" s="127"/>
      <c r="AP547" s="127"/>
      <c r="AQ547" s="276"/>
    </row>
    <row r="548" spans="1:43" s="56" customFormat="1" ht="15">
      <c r="A548" s="8"/>
      <c r="B548" s="8"/>
      <c r="C548" s="8"/>
      <c r="D548" s="8"/>
      <c r="E548" s="8"/>
      <c r="F548" s="8"/>
      <c r="G548" s="8"/>
      <c r="H548" s="8"/>
      <c r="I548" s="8"/>
      <c r="J548" s="127"/>
      <c r="K548" s="127"/>
      <c r="L548" s="127"/>
      <c r="M548" s="127"/>
      <c r="N548" s="127"/>
      <c r="O548" s="127"/>
      <c r="P548" s="127"/>
      <c r="Q548" s="127"/>
      <c r="R548" s="127"/>
      <c r="S548" s="127"/>
      <c r="T548" s="127"/>
      <c r="U548" s="127"/>
      <c r="V548" s="127"/>
      <c r="W548" s="127"/>
      <c r="X548" s="127"/>
      <c r="Y548" s="127"/>
      <c r="Z548" s="127"/>
      <c r="AA548" s="127"/>
      <c r="AB548" s="127"/>
      <c r="AC548" s="127"/>
      <c r="AD548" s="127"/>
      <c r="AE548" s="127"/>
      <c r="AF548" s="276"/>
      <c r="AG548" s="127"/>
      <c r="AH548" s="127"/>
      <c r="AI548" s="127"/>
      <c r="AJ548" s="127"/>
      <c r="AK548" s="127"/>
      <c r="AL548" s="127"/>
      <c r="AM548" s="127"/>
      <c r="AN548" s="127"/>
      <c r="AO548" s="127"/>
      <c r="AP548" s="127"/>
      <c r="AQ548" s="276"/>
    </row>
    <row r="549" spans="1:43" ht="15.75" thickBot="1">
      <c r="A549" s="59" t="s">
        <v>615</v>
      </c>
    </row>
    <row r="550" spans="1:43" ht="15.75" thickBot="1">
      <c r="A550" s="764" t="str">
        <f>A547</f>
        <v>Hand Rail</v>
      </c>
      <c r="B550" s="765">
        <v>4.9000000000000004</v>
      </c>
      <c r="C550" s="765">
        <v>5.62</v>
      </c>
      <c r="D550" s="765">
        <f>3.283+0.93</f>
        <v>4.2130000000000001</v>
      </c>
      <c r="E550" s="765">
        <v>0</v>
      </c>
      <c r="F550" s="765">
        <v>0</v>
      </c>
      <c r="G550" s="91">
        <v>0</v>
      </c>
      <c r="H550" s="765">
        <v>0</v>
      </c>
      <c r="I550" s="765">
        <v>0</v>
      </c>
      <c r="J550" s="765">
        <v>0</v>
      </c>
      <c r="K550" s="282">
        <f>SUM(B550:J550)</f>
        <v>14.733000000000001</v>
      </c>
      <c r="L550" s="306"/>
      <c r="Y550" s="102"/>
    </row>
    <row r="551" spans="1:43" ht="13.5" thickBot="1"/>
    <row r="552" spans="1:43" s="579" customFormat="1" ht="15.75" thickBot="1">
      <c r="A552" s="578" t="s">
        <v>469</v>
      </c>
    </row>
    <row r="554" spans="1:43" ht="15.75" thickBot="1">
      <c r="A554" s="59" t="s">
        <v>526</v>
      </c>
    </row>
    <row r="555" spans="1:43" s="56" customFormat="1" ht="15.75" thickBot="1">
      <c r="A555" s="286" t="s">
        <v>527</v>
      </c>
      <c r="B555" s="287">
        <f>D563-G581</f>
        <v>201.44146000000001</v>
      </c>
      <c r="C555" s="282" t="s">
        <v>84</v>
      </c>
      <c r="D555" s="275"/>
      <c r="E555" s="127"/>
      <c r="F555" s="580"/>
      <c r="G555" s="276"/>
      <c r="H555" s="127"/>
      <c r="I555" s="127"/>
      <c r="J555" s="127"/>
      <c r="K555" s="127"/>
      <c r="L555" s="127"/>
      <c r="M555" s="127"/>
      <c r="N555" s="127"/>
      <c r="O555" s="127"/>
      <c r="P555" s="127"/>
      <c r="Q555" s="127"/>
      <c r="R555" s="127"/>
      <c r="S555" s="127"/>
      <c r="T555" s="127"/>
      <c r="U555" s="127"/>
      <c r="V555" s="127"/>
      <c r="W555" s="127"/>
      <c r="X555" s="127"/>
      <c r="Y555" s="127"/>
      <c r="Z555" s="127"/>
      <c r="AA555" s="127"/>
      <c r="AB555" s="127"/>
      <c r="AC555" s="127"/>
      <c r="AD555" s="127"/>
      <c r="AE555" s="127"/>
      <c r="AF555" s="127"/>
      <c r="AG555" s="276"/>
      <c r="AH555" s="127"/>
      <c r="AI555" s="127"/>
      <c r="AJ555" s="127"/>
      <c r="AK555" s="127"/>
      <c r="AL555" s="127"/>
      <c r="AM555" s="127"/>
      <c r="AN555" s="127"/>
      <c r="AO555" s="127"/>
      <c r="AP555" s="127"/>
      <c r="AQ555" s="276"/>
    </row>
    <row r="556" spans="1:43" ht="13.5" thickBot="1"/>
    <row r="557" spans="1:43" ht="13.5" thickBot="1">
      <c r="A557" s="283" t="s">
        <v>382</v>
      </c>
      <c r="B557" s="284" t="s">
        <v>383</v>
      </c>
      <c r="C557" s="284" t="s">
        <v>385</v>
      </c>
      <c r="D557" s="285" t="s">
        <v>408</v>
      </c>
    </row>
    <row r="558" spans="1:43">
      <c r="A558" s="61"/>
      <c r="B558" s="82"/>
      <c r="C558" s="82"/>
      <c r="D558" s="82"/>
    </row>
    <row r="559" spans="1:43" ht="15">
      <c r="A559" s="67" t="s">
        <v>528</v>
      </c>
      <c r="B559" s="78">
        <f>P566</f>
        <v>29.998000000000001</v>
      </c>
      <c r="C559" s="78">
        <f>3-0.43+1</f>
        <v>3.57</v>
      </c>
      <c r="D559" s="79">
        <f>C559*B559</f>
        <v>107.09286</v>
      </c>
      <c r="E559" s="75"/>
      <c r="F559" s="75"/>
      <c r="G559" s="75"/>
    </row>
    <row r="560" spans="1:43" ht="15">
      <c r="A560" s="67" t="s">
        <v>530</v>
      </c>
      <c r="B560" s="78">
        <f>P567</f>
        <v>25.355999999999995</v>
      </c>
      <c r="C560" s="78">
        <f>3-0.15+1</f>
        <v>3.85</v>
      </c>
      <c r="D560" s="79">
        <f>C560*B560</f>
        <v>97.620599999999982</v>
      </c>
      <c r="E560" s="75"/>
      <c r="F560" s="75"/>
      <c r="G560" s="75"/>
    </row>
    <row r="561" spans="1:43" ht="15">
      <c r="A561" s="67" t="s">
        <v>616</v>
      </c>
      <c r="B561" s="78">
        <f>P568</f>
        <v>3.7589999999999999</v>
      </c>
      <c r="C561" s="78">
        <v>2</v>
      </c>
      <c r="D561" s="79">
        <f>C561*B561</f>
        <v>7.5179999999999998</v>
      </c>
      <c r="E561" s="75"/>
      <c r="F561" s="75"/>
      <c r="G561" s="75"/>
    </row>
    <row r="562" spans="1:43" ht="15.75" thickBot="1">
      <c r="A562" s="67"/>
      <c r="B562" s="78"/>
      <c r="C562" s="78"/>
      <c r="D562" s="79"/>
    </row>
    <row r="563" spans="1:43" ht="15.75" thickBot="1">
      <c r="A563" s="958" t="s">
        <v>393</v>
      </c>
      <c r="B563" s="959"/>
      <c r="C563" s="960"/>
      <c r="D563" s="77">
        <f>SUM(D558:D562)</f>
        <v>212.23146</v>
      </c>
    </row>
    <row r="565" spans="1:43" ht="15.75" thickBot="1">
      <c r="A565" s="59" t="s">
        <v>531</v>
      </c>
    </row>
    <row r="566" spans="1:43" s="56" customFormat="1" ht="17.25" customHeight="1" thickBot="1">
      <c r="A566" s="764" t="str">
        <f>A559</f>
        <v>150mm outer wall (Beam Line)</v>
      </c>
      <c r="B566" s="765">
        <v>5.0149999999999997</v>
      </c>
      <c r="C566" s="765">
        <v>5.3920000000000003</v>
      </c>
      <c r="D566" s="765">
        <v>5.55</v>
      </c>
      <c r="E566" s="765">
        <v>5.8380000000000001</v>
      </c>
      <c r="F566" s="765">
        <v>0.92800000000000005</v>
      </c>
      <c r="G566" s="765">
        <v>1.7</v>
      </c>
      <c r="H566" s="765">
        <v>1.8979999999999999</v>
      </c>
      <c r="I566" s="765">
        <v>2.6269999999999998</v>
      </c>
      <c r="J566" s="765">
        <v>1.05</v>
      </c>
      <c r="K566" s="765">
        <v>0</v>
      </c>
      <c r="L566" s="765">
        <v>0</v>
      </c>
      <c r="M566" s="765">
        <v>0</v>
      </c>
      <c r="N566" s="765">
        <v>0</v>
      </c>
      <c r="O566" s="765">
        <v>0</v>
      </c>
      <c r="P566" s="282">
        <f>SUM(B566:O566)</f>
        <v>29.998000000000001</v>
      </c>
      <c r="Q566" s="127"/>
      <c r="R566" s="127"/>
      <c r="S566" s="127"/>
      <c r="T566" s="127"/>
      <c r="U566" s="127"/>
      <c r="V566" s="127"/>
      <c r="W566" s="127"/>
      <c r="X566" s="127"/>
      <c r="Y566" s="127"/>
      <c r="Z566" s="127"/>
      <c r="AA566" s="127"/>
      <c r="AB566" s="276"/>
      <c r="AC566" s="127"/>
      <c r="AD566" s="127"/>
      <c r="AE566" s="127"/>
      <c r="AF566" s="127"/>
      <c r="AG566" s="276"/>
      <c r="AH566" s="127"/>
      <c r="AI566" s="127"/>
      <c r="AJ566" s="127"/>
      <c r="AK566" s="127"/>
      <c r="AL566" s="127"/>
      <c r="AM566" s="127"/>
      <c r="AN566" s="127"/>
      <c r="AO566" s="127"/>
      <c r="AP566" s="127"/>
      <c r="AQ566" s="276"/>
    </row>
    <row r="567" spans="1:43" s="56" customFormat="1" ht="17.25" customHeight="1" thickBot="1">
      <c r="A567" s="764" t="str">
        <f>A560</f>
        <v>150mm outer wall (Slab Line)</v>
      </c>
      <c r="B567" s="765">
        <v>5.89</v>
      </c>
      <c r="C567" s="765">
        <v>4.7699999999999996</v>
      </c>
      <c r="D567" s="765">
        <v>3.4510000000000001</v>
      </c>
      <c r="E567" s="770">
        <v>3.47</v>
      </c>
      <c r="F567" s="765">
        <v>1.65</v>
      </c>
      <c r="G567" s="765">
        <v>1.65</v>
      </c>
      <c r="H567" s="765">
        <v>3.2639999999999998</v>
      </c>
      <c r="I567" s="765">
        <v>1.2110000000000001</v>
      </c>
      <c r="J567" s="765">
        <v>0</v>
      </c>
      <c r="K567" s="765">
        <v>0</v>
      </c>
      <c r="L567" s="765">
        <v>0</v>
      </c>
      <c r="M567" s="765">
        <v>0</v>
      </c>
      <c r="N567" s="765">
        <v>0</v>
      </c>
      <c r="O567" s="765">
        <v>0</v>
      </c>
      <c r="P567" s="282">
        <f>SUM(B567:O567)</f>
        <v>25.355999999999995</v>
      </c>
      <c r="Q567" s="127"/>
      <c r="R567" s="127"/>
      <c r="S567" s="127"/>
      <c r="T567" s="127"/>
      <c r="U567" s="127"/>
      <c r="V567" s="127"/>
      <c r="W567" s="127"/>
      <c r="X567" s="127"/>
      <c r="Y567" s="127"/>
      <c r="Z567" s="127"/>
      <c r="AA567" s="127"/>
      <c r="AB567" s="276"/>
      <c r="AC567" s="127"/>
      <c r="AD567" s="127"/>
      <c r="AE567" s="127"/>
      <c r="AF567" s="127"/>
      <c r="AG567" s="276"/>
      <c r="AH567" s="127"/>
      <c r="AI567" s="127"/>
      <c r="AJ567" s="127"/>
      <c r="AK567" s="127"/>
      <c r="AL567" s="127"/>
      <c r="AM567" s="127"/>
      <c r="AN567" s="127"/>
      <c r="AO567" s="127"/>
      <c r="AP567" s="127"/>
      <c r="AQ567" s="276"/>
    </row>
    <row r="568" spans="1:43" s="56" customFormat="1" ht="17.25" customHeight="1" thickBot="1">
      <c r="A568" s="764" t="str">
        <f>A561</f>
        <v>150mm - 2M wall</v>
      </c>
      <c r="B568" s="765">
        <v>3.7589999999999999</v>
      </c>
      <c r="C568" s="765">
        <v>0</v>
      </c>
      <c r="D568" s="765">
        <v>0</v>
      </c>
      <c r="E568" s="765">
        <v>0</v>
      </c>
      <c r="F568" s="765">
        <v>0</v>
      </c>
      <c r="G568" s="765">
        <v>0</v>
      </c>
      <c r="H568" s="765">
        <v>0</v>
      </c>
      <c r="I568" s="765">
        <v>0</v>
      </c>
      <c r="J568" s="765">
        <v>0</v>
      </c>
      <c r="K568" s="765">
        <v>0</v>
      </c>
      <c r="L568" s="765">
        <v>0</v>
      </c>
      <c r="M568" s="765">
        <v>0</v>
      </c>
      <c r="N568" s="765">
        <v>0</v>
      </c>
      <c r="O568" s="765">
        <v>0</v>
      </c>
      <c r="P568" s="282">
        <f>SUM(B568:O568)</f>
        <v>3.7589999999999999</v>
      </c>
      <c r="Q568" s="127"/>
      <c r="R568" s="127"/>
      <c r="S568" s="127"/>
      <c r="T568" s="127"/>
      <c r="U568" s="127"/>
      <c r="V568" s="127"/>
      <c r="W568" s="127"/>
      <c r="X568" s="127"/>
      <c r="Y568" s="127"/>
      <c r="Z568" s="127"/>
      <c r="AA568" s="127"/>
      <c r="AB568" s="276"/>
      <c r="AC568" s="127"/>
      <c r="AD568" s="127"/>
      <c r="AE568" s="127"/>
      <c r="AF568" s="127"/>
      <c r="AG568" s="276"/>
      <c r="AH568" s="127"/>
      <c r="AI568" s="127"/>
      <c r="AJ568" s="127"/>
      <c r="AK568" s="127"/>
      <c r="AL568" s="127"/>
      <c r="AM568" s="127"/>
      <c r="AN568" s="127"/>
      <c r="AO568" s="127"/>
      <c r="AP568" s="127"/>
      <c r="AQ568" s="276"/>
    </row>
    <row r="570" spans="1:43" ht="15.75" thickBot="1">
      <c r="A570" s="59" t="s">
        <v>447</v>
      </c>
    </row>
    <row r="571" spans="1:43" s="56" customFormat="1" ht="15.75" customHeight="1" thickBot="1">
      <c r="A571" s="310" t="s">
        <v>382</v>
      </c>
      <c r="B571" s="311" t="s">
        <v>82</v>
      </c>
      <c r="C571" s="311" t="s">
        <v>291</v>
      </c>
      <c r="D571" s="311" t="s">
        <v>384</v>
      </c>
      <c r="E571" s="311" t="s">
        <v>385</v>
      </c>
      <c r="F571" s="313" t="s">
        <v>409</v>
      </c>
      <c r="G571" s="314" t="s">
        <v>532</v>
      </c>
      <c r="H571" s="961" t="s">
        <v>533</v>
      </c>
      <c r="I571" s="962"/>
      <c r="J571" s="962"/>
      <c r="K571" s="962"/>
      <c r="L571" s="962"/>
      <c r="M571" s="962"/>
      <c r="N571" s="962"/>
      <c r="O571" s="963"/>
      <c r="P571" s="315" t="s">
        <v>532</v>
      </c>
    </row>
    <row r="572" spans="1:43">
      <c r="A572" s="61"/>
      <c r="B572" s="61"/>
      <c r="C572" s="61"/>
      <c r="D572" s="61"/>
      <c r="E572" s="61"/>
      <c r="F572" s="61"/>
      <c r="G572" s="61"/>
      <c r="N572" s="69"/>
      <c r="O572" s="70"/>
      <c r="P572" s="61"/>
    </row>
    <row r="573" spans="1:43" ht="15">
      <c r="A573" s="62" t="s">
        <v>534</v>
      </c>
      <c r="B573" s="309" t="s">
        <v>629</v>
      </c>
      <c r="C573" s="73">
        <f>P573</f>
        <v>1</v>
      </c>
      <c r="D573" s="73">
        <v>1.5</v>
      </c>
      <c r="E573" s="73">
        <v>1.6</v>
      </c>
      <c r="F573" s="79">
        <f>E573*D573</f>
        <v>2.4000000000000004</v>
      </c>
      <c r="G573" s="79">
        <f>F573*C573</f>
        <v>2.4000000000000004</v>
      </c>
      <c r="H573" s="102">
        <v>1</v>
      </c>
      <c r="I573" s="102">
        <v>0</v>
      </c>
      <c r="J573" s="102">
        <v>0</v>
      </c>
      <c r="K573" s="75">
        <v>0</v>
      </c>
      <c r="L573" s="75">
        <v>0</v>
      </c>
      <c r="M573" s="75">
        <v>0</v>
      </c>
      <c r="N573" s="75">
        <v>0</v>
      </c>
      <c r="O573" s="766">
        <v>0</v>
      </c>
      <c r="P573" s="79">
        <f>SUM(H573:O573)</f>
        <v>1</v>
      </c>
    </row>
    <row r="574" spans="1:43" ht="15">
      <c r="A574" s="62"/>
      <c r="B574" s="309" t="s">
        <v>630</v>
      </c>
      <c r="C574" s="73">
        <f>P574</f>
        <v>1</v>
      </c>
      <c r="D574" s="73">
        <v>2.15</v>
      </c>
      <c r="E574" s="73">
        <v>1.6</v>
      </c>
      <c r="F574" s="79">
        <f>E574*D574</f>
        <v>3.44</v>
      </c>
      <c r="G574" s="79">
        <f>F574*C574</f>
        <v>3.44</v>
      </c>
      <c r="H574" s="102">
        <v>1</v>
      </c>
      <c r="I574" s="102">
        <v>0</v>
      </c>
      <c r="J574" s="102">
        <v>0</v>
      </c>
      <c r="K574" s="75">
        <v>0</v>
      </c>
      <c r="L574" s="75">
        <v>0</v>
      </c>
      <c r="M574" s="75">
        <v>0</v>
      </c>
      <c r="N574" s="75">
        <v>0</v>
      </c>
      <c r="O574" s="766">
        <v>0</v>
      </c>
      <c r="P574" s="79">
        <f>SUM(H574:O574)</f>
        <v>1</v>
      </c>
    </row>
    <row r="575" spans="1:43" ht="15">
      <c r="A575" s="62"/>
      <c r="B575" s="309" t="s">
        <v>620</v>
      </c>
      <c r="C575" s="73">
        <f>P575</f>
        <v>1</v>
      </c>
      <c r="D575" s="73">
        <v>1.1000000000000001</v>
      </c>
      <c r="E575" s="73">
        <v>2.25</v>
      </c>
      <c r="F575" s="79">
        <f>E575*D575</f>
        <v>2.4750000000000001</v>
      </c>
      <c r="G575" s="79">
        <f>F575*C575</f>
        <v>2.4750000000000001</v>
      </c>
      <c r="H575" s="102">
        <v>1</v>
      </c>
      <c r="I575" s="102">
        <v>0</v>
      </c>
      <c r="J575" s="102">
        <v>0</v>
      </c>
      <c r="K575" s="75">
        <v>0</v>
      </c>
      <c r="L575" s="75">
        <v>0</v>
      </c>
      <c r="M575" s="75">
        <v>0</v>
      </c>
      <c r="N575" s="75">
        <v>0</v>
      </c>
      <c r="O575" s="766">
        <v>0</v>
      </c>
      <c r="P575" s="79">
        <f>SUM(H575:O575)</f>
        <v>1</v>
      </c>
    </row>
    <row r="576" spans="1:43" ht="15">
      <c r="A576" s="63"/>
      <c r="B576" s="309"/>
      <c r="C576" s="73"/>
      <c r="D576" s="73"/>
      <c r="E576" s="73"/>
      <c r="F576" s="79"/>
      <c r="G576" s="79"/>
      <c r="H576" s="102"/>
      <c r="I576" s="102"/>
      <c r="J576" s="102"/>
      <c r="O576" s="217"/>
      <c r="P576" s="79"/>
    </row>
    <row r="577" spans="1:43" ht="15">
      <c r="A577" s="62" t="s">
        <v>538</v>
      </c>
      <c r="B577" s="309" t="s">
        <v>620</v>
      </c>
      <c r="C577" s="73">
        <f>P577</f>
        <v>1</v>
      </c>
      <c r="D577" s="73">
        <v>1.1000000000000001</v>
      </c>
      <c r="E577" s="73">
        <v>2.25</v>
      </c>
      <c r="F577" s="79">
        <f t="shared" ref="F577:F579" si="43">E577*D577</f>
        <v>2.4750000000000001</v>
      </c>
      <c r="G577" s="79">
        <f t="shared" ref="G577:G579" si="44">F577*C577</f>
        <v>2.4750000000000001</v>
      </c>
      <c r="H577" s="102">
        <v>1</v>
      </c>
      <c r="I577" s="75">
        <v>0</v>
      </c>
      <c r="J577" s="75">
        <v>0</v>
      </c>
      <c r="K577" s="75">
        <v>0</v>
      </c>
      <c r="L577" s="75">
        <v>0</v>
      </c>
      <c r="M577" s="75">
        <v>0</v>
      </c>
      <c r="N577" s="75">
        <v>0</v>
      </c>
      <c r="O577" s="766">
        <v>0</v>
      </c>
      <c r="P577" s="79">
        <f t="shared" ref="P577:P579" si="45">SUM(H577:O577)</f>
        <v>1</v>
      </c>
    </row>
    <row r="578" spans="1:43" ht="15">
      <c r="A578" s="598"/>
      <c r="B578" s="309" t="s">
        <v>631</v>
      </c>
      <c r="C578" s="73">
        <f>P578</f>
        <v>1</v>
      </c>
      <c r="D578" s="73">
        <v>1.05</v>
      </c>
      <c r="E578" s="73">
        <v>2.25</v>
      </c>
      <c r="F578" s="79">
        <f t="shared" si="43"/>
        <v>2.3625000000000003</v>
      </c>
      <c r="G578" s="79">
        <f t="shared" si="44"/>
        <v>2.3625000000000003</v>
      </c>
      <c r="H578" s="102">
        <v>1</v>
      </c>
      <c r="I578" s="75">
        <v>0</v>
      </c>
      <c r="J578" s="75">
        <v>0</v>
      </c>
      <c r="K578" s="75">
        <v>0</v>
      </c>
      <c r="L578" s="75">
        <v>0</v>
      </c>
      <c r="M578" s="75">
        <v>0</v>
      </c>
      <c r="N578" s="75">
        <v>0</v>
      </c>
      <c r="O578" s="766">
        <v>0</v>
      </c>
      <c r="P578" s="79">
        <f t="shared" si="45"/>
        <v>1</v>
      </c>
    </row>
    <row r="579" spans="1:43" ht="15">
      <c r="A579" s="598"/>
      <c r="B579" s="309" t="s">
        <v>539</v>
      </c>
      <c r="C579" s="73">
        <f>P579</f>
        <v>2</v>
      </c>
      <c r="D579" s="73">
        <v>0.95</v>
      </c>
      <c r="E579" s="73">
        <v>2.25</v>
      </c>
      <c r="F579" s="79">
        <f t="shared" si="43"/>
        <v>2.1374999999999997</v>
      </c>
      <c r="G579" s="79">
        <f t="shared" si="44"/>
        <v>4.2749999999999995</v>
      </c>
      <c r="H579" s="102">
        <v>1</v>
      </c>
      <c r="I579" s="75">
        <v>1</v>
      </c>
      <c r="J579" s="75">
        <v>0</v>
      </c>
      <c r="K579" s="75">
        <v>0</v>
      </c>
      <c r="L579" s="75">
        <v>0</v>
      </c>
      <c r="M579" s="75">
        <v>0</v>
      </c>
      <c r="N579" s="75">
        <v>0</v>
      </c>
      <c r="O579" s="766">
        <v>0</v>
      </c>
      <c r="P579" s="79">
        <f t="shared" si="45"/>
        <v>2</v>
      </c>
    </row>
    <row r="580" spans="1:43" ht="15.75" thickBot="1">
      <c r="B580" s="309"/>
      <c r="C580" s="73"/>
      <c r="D580" s="73"/>
      <c r="E580" s="73"/>
      <c r="F580" s="79"/>
      <c r="G580" s="79"/>
      <c r="N580" s="280"/>
      <c r="O580" s="316"/>
      <c r="P580" s="79"/>
    </row>
    <row r="581" spans="1:43" ht="15.75" thickBot="1">
      <c r="A581" s="65"/>
      <c r="B581" s="955" t="s">
        <v>545</v>
      </c>
      <c r="C581" s="956"/>
      <c r="D581" s="956"/>
      <c r="E581" s="956"/>
      <c r="F581" s="957"/>
      <c r="G581" s="77">
        <f>SUM(G572:G577)</f>
        <v>10.79</v>
      </c>
      <c r="H581" s="293"/>
      <c r="I581" s="208"/>
      <c r="J581" s="208"/>
      <c r="K581" s="312"/>
      <c r="L581" s="312"/>
      <c r="M581" s="312"/>
      <c r="N581" s="312"/>
      <c r="O581" s="317"/>
      <c r="P581" s="77"/>
    </row>
    <row r="582" spans="1:43" ht="15">
      <c r="H582" s="102"/>
      <c r="I582" s="102"/>
      <c r="J582" s="102"/>
    </row>
    <row r="583" spans="1:43" ht="15">
      <c r="H583" s="102"/>
      <c r="I583" s="102"/>
      <c r="J583" s="102"/>
    </row>
    <row r="584" spans="1:43" ht="15.75" thickBot="1">
      <c r="A584" s="59" t="s">
        <v>546</v>
      </c>
    </row>
    <row r="585" spans="1:43" s="56" customFormat="1" ht="15.75" thickBot="1">
      <c r="A585" s="286" t="s">
        <v>547</v>
      </c>
      <c r="B585" s="287">
        <f>D592-H605+J605</f>
        <v>138.995</v>
      </c>
      <c r="C585" s="282" t="s">
        <v>84</v>
      </c>
      <c r="D585" s="275"/>
      <c r="E585" s="127"/>
      <c r="F585" s="127"/>
      <c r="G585" s="276"/>
      <c r="H585" s="127"/>
      <c r="I585" s="127"/>
      <c r="J585" s="277"/>
    </row>
    <row r="586" spans="1:43" ht="13.5" thickBot="1"/>
    <row r="587" spans="1:43" ht="15.75" thickBot="1">
      <c r="A587" s="283" t="s">
        <v>382</v>
      </c>
      <c r="B587" s="284" t="s">
        <v>383</v>
      </c>
      <c r="C587" s="284" t="s">
        <v>385</v>
      </c>
      <c r="D587" s="285" t="s">
        <v>408</v>
      </c>
      <c r="J587" s="102"/>
    </row>
    <row r="588" spans="1:43" ht="15">
      <c r="A588" s="61"/>
      <c r="B588" s="82"/>
      <c r="C588" s="82"/>
      <c r="D588" s="82"/>
      <c r="J588" s="102"/>
    </row>
    <row r="589" spans="1:43" ht="15">
      <c r="A589" s="67" t="s">
        <v>548</v>
      </c>
      <c r="B589" s="78">
        <f>M595</f>
        <v>41.564999999999998</v>
      </c>
      <c r="C589" s="78">
        <v>3</v>
      </c>
      <c r="D589" s="79">
        <f>C589*B589</f>
        <v>124.69499999999999</v>
      </c>
      <c r="E589" s="75" t="s">
        <v>549</v>
      </c>
      <c r="J589" s="102"/>
    </row>
    <row r="590" spans="1:43" ht="15">
      <c r="A590" s="67" t="s">
        <v>621</v>
      </c>
      <c r="B590" s="78">
        <f>M596</f>
        <v>3.8</v>
      </c>
      <c r="C590" s="78">
        <v>4.1500000000000004</v>
      </c>
      <c r="D590" s="79">
        <f>C590*B590</f>
        <v>15.770000000000001</v>
      </c>
      <c r="J590" s="102"/>
    </row>
    <row r="591" spans="1:43" s="56" customFormat="1" ht="15.75" thickBot="1">
      <c r="A591" s="67"/>
      <c r="B591" s="78"/>
      <c r="C591" s="78"/>
      <c r="D591" s="79"/>
      <c r="E591" s="8"/>
      <c r="F591" s="8"/>
      <c r="G591" s="8"/>
      <c r="H591" s="8"/>
      <c r="I591" s="8"/>
      <c r="J591" s="127"/>
      <c r="K591" s="127"/>
      <c r="L591" s="127"/>
      <c r="M591" s="127"/>
      <c r="N591" s="127"/>
      <c r="O591" s="127"/>
      <c r="P591" s="127"/>
      <c r="Q591" s="127"/>
      <c r="R591" s="127"/>
      <c r="S591" s="127"/>
      <c r="T591" s="127"/>
      <c r="U591" s="127"/>
      <c r="V591" s="127"/>
      <c r="W591" s="127"/>
      <c r="X591" s="127"/>
      <c r="Y591" s="127"/>
      <c r="Z591" s="127"/>
      <c r="AA591" s="127"/>
      <c r="AB591" s="127"/>
      <c r="AC591" s="127"/>
      <c r="AD591" s="127"/>
      <c r="AE591" s="127"/>
      <c r="AF591" s="127"/>
      <c r="AG591" s="276"/>
      <c r="AH591" s="127"/>
      <c r="AI591" s="127"/>
      <c r="AJ591" s="127"/>
      <c r="AK591" s="127"/>
      <c r="AL591" s="127"/>
      <c r="AM591" s="127"/>
      <c r="AN591" s="127"/>
      <c r="AO591" s="127"/>
      <c r="AP591" s="127"/>
      <c r="AQ591" s="276"/>
    </row>
    <row r="592" spans="1:43" ht="15.75" thickBot="1">
      <c r="A592" s="958" t="s">
        <v>393</v>
      </c>
      <c r="B592" s="959"/>
      <c r="C592" s="960"/>
      <c r="D592" s="77">
        <f>SUM(D588:D591)</f>
        <v>140.465</v>
      </c>
    </row>
    <row r="594" spans="1:13" ht="15.75" thickBot="1">
      <c r="A594" s="59" t="s">
        <v>551</v>
      </c>
    </row>
    <row r="595" spans="1:13" ht="15.75" thickBot="1">
      <c r="A595" s="764" t="str">
        <f>A589</f>
        <v>Outer Wall - Full</v>
      </c>
      <c r="B595" s="765">
        <v>25</v>
      </c>
      <c r="C595" s="765">
        <v>16.565000000000001</v>
      </c>
      <c r="D595" s="765">
        <v>0</v>
      </c>
      <c r="E595" s="765">
        <v>0</v>
      </c>
      <c r="F595" s="765">
        <v>0</v>
      </c>
      <c r="G595" s="765">
        <v>0</v>
      </c>
      <c r="H595" s="765">
        <v>0</v>
      </c>
      <c r="I595" s="765">
        <v>0</v>
      </c>
      <c r="J595" s="765">
        <v>0</v>
      </c>
      <c r="K595" s="765">
        <v>0</v>
      </c>
      <c r="L595" s="765">
        <v>0</v>
      </c>
      <c r="M595" s="282">
        <f>SUM(B595:L595)</f>
        <v>41.564999999999998</v>
      </c>
    </row>
    <row r="596" spans="1:13" ht="15.75" thickBot="1">
      <c r="A596" s="764" t="str">
        <f>A590</f>
        <v xml:space="preserve">Outer wal - 2.0m </v>
      </c>
      <c r="B596" s="765">
        <v>3.8</v>
      </c>
      <c r="C596" s="765">
        <v>0</v>
      </c>
      <c r="D596" s="765">
        <v>0</v>
      </c>
      <c r="E596" s="765">
        <v>0</v>
      </c>
      <c r="F596" s="765">
        <v>0</v>
      </c>
      <c r="G596" s="765">
        <v>0</v>
      </c>
      <c r="H596" s="765">
        <v>0</v>
      </c>
      <c r="I596" s="765">
        <v>0</v>
      </c>
      <c r="J596" s="765">
        <v>0</v>
      </c>
      <c r="K596" s="765">
        <v>0</v>
      </c>
      <c r="L596" s="765">
        <v>0</v>
      </c>
      <c r="M596" s="282">
        <f>SUM(B596:L596)</f>
        <v>3.8</v>
      </c>
    </row>
    <row r="598" spans="1:13" ht="15.75" thickBot="1">
      <c r="A598" s="59" t="s">
        <v>552</v>
      </c>
    </row>
    <row r="599" spans="1:13" ht="15.75" customHeight="1" thickBot="1">
      <c r="A599" s="288" t="s">
        <v>382</v>
      </c>
      <c r="B599" s="289" t="s">
        <v>82</v>
      </c>
      <c r="C599" s="289" t="s">
        <v>291</v>
      </c>
      <c r="D599" s="289" t="s">
        <v>383</v>
      </c>
      <c r="E599" s="289" t="s">
        <v>384</v>
      </c>
      <c r="F599" s="289" t="s">
        <v>409</v>
      </c>
      <c r="G599" s="290" t="s">
        <v>532</v>
      </c>
      <c r="H599" s="291" t="s">
        <v>553</v>
      </c>
      <c r="I599" s="291" t="s">
        <v>554</v>
      </c>
      <c r="J599" s="292" t="s">
        <v>555</v>
      </c>
    </row>
    <row r="600" spans="1:13">
      <c r="A600" s="61"/>
      <c r="B600" s="61"/>
      <c r="C600" s="61"/>
      <c r="D600" s="61"/>
      <c r="E600" s="61"/>
      <c r="F600" s="294"/>
      <c r="G600" s="294"/>
      <c r="H600" s="61"/>
      <c r="I600" s="61"/>
      <c r="J600" s="61"/>
    </row>
    <row r="601" spans="1:13" ht="15">
      <c r="A601" s="62" t="s">
        <v>534</v>
      </c>
      <c r="B601" s="72" t="str">
        <f t="shared" ref="B601:E603" si="46">B573</f>
        <v>W06</v>
      </c>
      <c r="C601" s="72">
        <f t="shared" si="46"/>
        <v>1</v>
      </c>
      <c r="D601" s="72">
        <f t="shared" si="46"/>
        <v>1.5</v>
      </c>
      <c r="E601" s="72">
        <f t="shared" si="46"/>
        <v>1.6</v>
      </c>
      <c r="F601" s="93">
        <f>E601*D601</f>
        <v>2.4000000000000004</v>
      </c>
      <c r="G601" s="93">
        <f>F601*C601</f>
        <v>2.4000000000000004</v>
      </c>
      <c r="H601" s="78">
        <f>G601</f>
        <v>2.4000000000000004</v>
      </c>
      <c r="I601" s="78">
        <f>G601</f>
        <v>2.4000000000000004</v>
      </c>
      <c r="J601" s="78">
        <f>(D601+E601+D601+E601)*C601*0.15</f>
        <v>0.92999999999999983</v>
      </c>
    </row>
    <row r="602" spans="1:13" ht="15">
      <c r="A602" s="62"/>
      <c r="B602" s="72" t="str">
        <f t="shared" si="46"/>
        <v>W07</v>
      </c>
      <c r="C602" s="72">
        <f t="shared" si="46"/>
        <v>1</v>
      </c>
      <c r="D602" s="72">
        <f t="shared" si="46"/>
        <v>2.15</v>
      </c>
      <c r="E602" s="72">
        <f t="shared" si="46"/>
        <v>1.6</v>
      </c>
      <c r="F602" s="93">
        <f>E602*D602</f>
        <v>3.44</v>
      </c>
      <c r="G602" s="93">
        <f>F602*C602</f>
        <v>3.44</v>
      </c>
      <c r="H602" s="78">
        <f>G602</f>
        <v>3.44</v>
      </c>
      <c r="I602" s="78">
        <f>G602</f>
        <v>3.44</v>
      </c>
      <c r="J602" s="78">
        <f>(D602+E602+D602+E602)*C602*0.15</f>
        <v>1.125</v>
      </c>
    </row>
    <row r="603" spans="1:13" ht="15">
      <c r="A603" s="62"/>
      <c r="B603" s="72" t="str">
        <f t="shared" si="46"/>
        <v>D04</v>
      </c>
      <c r="C603" s="72">
        <f t="shared" si="46"/>
        <v>1</v>
      </c>
      <c r="D603" s="72">
        <f t="shared" si="46"/>
        <v>1.1000000000000001</v>
      </c>
      <c r="E603" s="72">
        <f t="shared" si="46"/>
        <v>2.25</v>
      </c>
      <c r="F603" s="93">
        <f>E603*D603</f>
        <v>2.4750000000000001</v>
      </c>
      <c r="G603" s="93">
        <f>F603*C603</f>
        <v>2.4750000000000001</v>
      </c>
      <c r="H603" s="78">
        <f>G603</f>
        <v>2.4750000000000001</v>
      </c>
      <c r="I603" s="78">
        <f>G603</f>
        <v>2.4750000000000001</v>
      </c>
      <c r="J603" s="78">
        <f>(D603+E603+D603+E603)*C603*0.15</f>
        <v>1.0049999999999999</v>
      </c>
    </row>
    <row r="604" spans="1:13" ht="15.75" thickBot="1">
      <c r="A604" s="62"/>
      <c r="B604" s="76"/>
      <c r="C604" s="76"/>
      <c r="D604" s="76"/>
      <c r="E604" s="76"/>
      <c r="F604" s="605"/>
      <c r="G604" s="605"/>
      <c r="H604" s="80"/>
      <c r="I604" s="80"/>
      <c r="J604" s="80"/>
    </row>
    <row r="605" spans="1:13" ht="15.75" thickBot="1">
      <c r="A605" s="65"/>
      <c r="B605" s="955" t="s">
        <v>545</v>
      </c>
      <c r="C605" s="956"/>
      <c r="D605" s="956"/>
      <c r="E605" s="956"/>
      <c r="F605" s="957"/>
      <c r="G605" s="293">
        <f>SUM(G600:G601)</f>
        <v>2.4000000000000004</v>
      </c>
      <c r="H605" s="293">
        <f>SUM(H600:H601)</f>
        <v>2.4000000000000004</v>
      </c>
      <c r="I605" s="293">
        <f>SUM(I600:I601)</f>
        <v>2.4000000000000004</v>
      </c>
      <c r="J605" s="77">
        <f>SUM(J600:J601)</f>
        <v>0.92999999999999983</v>
      </c>
      <c r="K605" s="75"/>
      <c r="L605" s="75"/>
    </row>
    <row r="606" spans="1:13" ht="15">
      <c r="A606" s="63"/>
      <c r="B606" s="72"/>
      <c r="C606" s="73"/>
      <c r="D606" s="73"/>
      <c r="E606" s="73"/>
      <c r="F606" s="93"/>
      <c r="G606" s="296"/>
      <c r="H606" s="78"/>
      <c r="I606" s="78"/>
      <c r="J606" s="78"/>
    </row>
    <row r="607" spans="1:13" s="56" customFormat="1" ht="15">
      <c r="A607" s="62" t="s">
        <v>538</v>
      </c>
      <c r="B607" s="72" t="str">
        <f t="shared" ref="B607:E609" si="47">B577</f>
        <v>D04</v>
      </c>
      <c r="C607" s="72">
        <f t="shared" si="47"/>
        <v>1</v>
      </c>
      <c r="D607" s="72">
        <f t="shared" si="47"/>
        <v>1.1000000000000001</v>
      </c>
      <c r="E607" s="72">
        <f t="shared" si="47"/>
        <v>2.25</v>
      </c>
      <c r="F607" s="93">
        <f t="shared" ref="F607:F609" si="48">E607*D607</f>
        <v>2.4750000000000001</v>
      </c>
      <c r="G607" s="93">
        <f t="shared" ref="G607:G609" si="49">F607*C607</f>
        <v>2.4750000000000001</v>
      </c>
      <c r="H607" s="78">
        <f>G607</f>
        <v>2.4750000000000001</v>
      </c>
      <c r="I607" s="78">
        <f>G607</f>
        <v>2.4750000000000001</v>
      </c>
      <c r="J607" s="78">
        <f>(D607+E607+D607+E607)*C607*0.15</f>
        <v>1.0049999999999999</v>
      </c>
      <c r="K607" s="277"/>
      <c r="L607" s="277"/>
    </row>
    <row r="608" spans="1:13" s="56" customFormat="1" ht="15">
      <c r="A608" s="62"/>
      <c r="B608" s="72" t="str">
        <f t="shared" si="47"/>
        <v>D05</v>
      </c>
      <c r="C608" s="72">
        <f t="shared" si="47"/>
        <v>1</v>
      </c>
      <c r="D608" s="72">
        <f t="shared" si="47"/>
        <v>1.05</v>
      </c>
      <c r="E608" s="72">
        <f t="shared" si="47"/>
        <v>2.25</v>
      </c>
      <c r="F608" s="93">
        <f t="shared" si="48"/>
        <v>2.3625000000000003</v>
      </c>
      <c r="G608" s="93">
        <f t="shared" si="49"/>
        <v>2.3625000000000003</v>
      </c>
      <c r="H608" s="78">
        <f t="shared" ref="H608:H609" si="50">G608</f>
        <v>2.3625000000000003</v>
      </c>
      <c r="I608" s="78">
        <f t="shared" ref="I608:I609" si="51">G608</f>
        <v>2.3625000000000003</v>
      </c>
      <c r="J608" s="78">
        <f t="shared" ref="J608:J609" si="52">(D608+E608+D608+E608)*C608*0.15</f>
        <v>0.98999999999999988</v>
      </c>
      <c r="K608" s="277"/>
      <c r="L608" s="277"/>
    </row>
    <row r="609" spans="1:43" s="56" customFormat="1" ht="15">
      <c r="A609" s="62"/>
      <c r="B609" s="72" t="str">
        <f t="shared" si="47"/>
        <v>D03</v>
      </c>
      <c r="C609" s="72">
        <f t="shared" si="47"/>
        <v>2</v>
      </c>
      <c r="D609" s="72">
        <f t="shared" si="47"/>
        <v>0.95</v>
      </c>
      <c r="E609" s="72">
        <f t="shared" si="47"/>
        <v>2.25</v>
      </c>
      <c r="F609" s="93">
        <f t="shared" si="48"/>
        <v>2.1374999999999997</v>
      </c>
      <c r="G609" s="93">
        <f t="shared" si="49"/>
        <v>4.2749999999999995</v>
      </c>
      <c r="H609" s="78">
        <f t="shared" si="50"/>
        <v>4.2749999999999995</v>
      </c>
      <c r="I609" s="78">
        <f t="shared" si="51"/>
        <v>4.2749999999999995</v>
      </c>
      <c r="J609" s="78">
        <f t="shared" si="52"/>
        <v>1.92</v>
      </c>
      <c r="K609" s="277"/>
      <c r="L609" s="277"/>
    </row>
    <row r="610" spans="1:43" ht="15.75" thickBot="1">
      <c r="A610" s="63"/>
      <c r="B610" s="72"/>
      <c r="C610" s="73"/>
      <c r="D610" s="73"/>
      <c r="E610" s="73"/>
      <c r="F610" s="93"/>
      <c r="G610" s="296"/>
      <c r="H610" s="78"/>
      <c r="I610" s="78"/>
      <c r="J610" s="78"/>
      <c r="K610" s="75"/>
      <c r="L610" s="75"/>
    </row>
    <row r="611" spans="1:43" ht="15.75" thickBot="1">
      <c r="A611" s="65"/>
      <c r="B611" s="955" t="s">
        <v>545</v>
      </c>
      <c r="C611" s="956"/>
      <c r="D611" s="956"/>
      <c r="E611" s="956"/>
      <c r="F611" s="957"/>
      <c r="G611" s="293">
        <f>SUM(G606:G610)</f>
        <v>9.1125000000000007</v>
      </c>
      <c r="H611" s="293">
        <f>SUM(H606:H610)</f>
        <v>9.1125000000000007</v>
      </c>
      <c r="I611" s="293">
        <f>SUM(I606:I610)</f>
        <v>9.1125000000000007</v>
      </c>
      <c r="J611" s="77">
        <f>SUM(J606:J610)</f>
        <v>3.9149999999999996</v>
      </c>
      <c r="K611" s="75"/>
      <c r="L611" s="75"/>
    </row>
    <row r="612" spans="1:43">
      <c r="J612" s="75"/>
      <c r="K612" s="75"/>
      <c r="L612" s="75"/>
    </row>
    <row r="613" spans="1:43" ht="15.75" thickBot="1">
      <c r="A613" s="59" t="s">
        <v>556</v>
      </c>
      <c r="J613" s="75"/>
      <c r="K613" s="75"/>
      <c r="L613" s="75"/>
    </row>
    <row r="614" spans="1:43" ht="15.75" thickBot="1">
      <c r="A614" s="286" t="s">
        <v>557</v>
      </c>
      <c r="B614" s="297">
        <f>D620-I605-H611-I611+J611</f>
        <v>417.92697000000004</v>
      </c>
      <c r="C614" s="282" t="s">
        <v>84</v>
      </c>
      <c r="D614" s="127"/>
      <c r="E614" s="127"/>
      <c r="F614" s="127"/>
      <c r="G614" s="276"/>
      <c r="H614" s="127"/>
      <c r="I614" s="127"/>
      <c r="J614" s="75"/>
      <c r="K614" s="75"/>
      <c r="L614" s="75"/>
    </row>
    <row r="615" spans="1:43" ht="13.5" thickBot="1">
      <c r="J615" s="75"/>
      <c r="K615" s="75"/>
      <c r="L615" s="75"/>
    </row>
    <row r="616" spans="1:43" ht="13.5" thickBot="1">
      <c r="A616" s="283" t="s">
        <v>382</v>
      </c>
      <c r="B616" s="284" t="s">
        <v>383</v>
      </c>
      <c r="C616" s="284" t="s">
        <v>385</v>
      </c>
      <c r="D616" s="285" t="s">
        <v>408</v>
      </c>
      <c r="J616" s="75"/>
      <c r="K616" s="75"/>
      <c r="L616" s="75"/>
    </row>
    <row r="617" spans="1:43">
      <c r="A617" s="61"/>
      <c r="B617" s="82"/>
      <c r="C617" s="82"/>
      <c r="D617" s="82"/>
      <c r="J617" s="75"/>
      <c r="K617" s="75"/>
    </row>
    <row r="618" spans="1:43" ht="15">
      <c r="A618" s="67" t="s">
        <v>558</v>
      </c>
      <c r="B618" s="78">
        <f>P623</f>
        <v>152.5042</v>
      </c>
      <c r="C618" s="78">
        <v>2.85</v>
      </c>
      <c r="D618" s="79">
        <f>C618*B618</f>
        <v>434.63697000000002</v>
      </c>
      <c r="J618" s="102"/>
    </row>
    <row r="619" spans="1:43" ht="13.5" thickBot="1">
      <c r="A619" s="65"/>
      <c r="B619" s="80"/>
      <c r="C619" s="80"/>
      <c r="D619" s="80"/>
    </row>
    <row r="620" spans="1:43" s="56" customFormat="1" ht="15.75" thickBot="1">
      <c r="A620" s="958" t="s">
        <v>393</v>
      </c>
      <c r="B620" s="959"/>
      <c r="C620" s="960"/>
      <c r="D620" s="77">
        <f>SUM(D616:D619)</f>
        <v>434.63697000000002</v>
      </c>
      <c r="E620" s="8"/>
      <c r="F620" s="8"/>
      <c r="G620" s="8"/>
      <c r="H620" s="8"/>
      <c r="I620" s="8"/>
      <c r="J620" s="127"/>
      <c r="K620" s="127"/>
      <c r="L620" s="127"/>
      <c r="M620" s="127"/>
      <c r="N620" s="127"/>
      <c r="O620" s="127"/>
      <c r="P620" s="127"/>
      <c r="Q620" s="127"/>
      <c r="R620" s="127"/>
      <c r="S620" s="127"/>
      <c r="T620" s="127"/>
      <c r="U620" s="127"/>
      <c r="V620" s="127"/>
      <c r="W620" s="127"/>
      <c r="X620" s="127"/>
      <c r="Y620" s="127"/>
      <c r="Z620" s="127"/>
      <c r="AA620" s="127"/>
      <c r="AB620" s="127"/>
      <c r="AC620" s="127"/>
      <c r="AD620" s="127"/>
      <c r="AE620" s="127"/>
      <c r="AF620" s="127"/>
      <c r="AG620" s="276"/>
      <c r="AH620" s="127"/>
      <c r="AI620" s="127"/>
      <c r="AJ620" s="127"/>
      <c r="AK620" s="127"/>
      <c r="AL620" s="127"/>
      <c r="AM620" s="127"/>
      <c r="AN620" s="127"/>
      <c r="AO620" s="127"/>
      <c r="AP620" s="127"/>
      <c r="AQ620" s="276"/>
    </row>
    <row r="622" spans="1:43" ht="15.75" thickBot="1">
      <c r="A622" s="59" t="s">
        <v>551</v>
      </c>
    </row>
    <row r="623" spans="1:43" ht="15.75" thickBot="1">
      <c r="A623" s="764" t="str">
        <f>A618</f>
        <v>Internal Wall</v>
      </c>
      <c r="B623" s="765">
        <v>12.564</v>
      </c>
      <c r="C623" s="765">
        <v>19.850000000000001</v>
      </c>
      <c r="D623" s="765">
        <v>12</v>
      </c>
      <c r="E623" s="765">
        <v>19.625</v>
      </c>
      <c r="F623" s="765">
        <v>32.785200000000003</v>
      </c>
      <c r="G623" s="765">
        <v>11.98</v>
      </c>
      <c r="H623" s="765">
        <v>17.149999999999999</v>
      </c>
      <c r="I623" s="765">
        <v>7.91</v>
      </c>
      <c r="J623" s="765">
        <v>8.2439999999999998</v>
      </c>
      <c r="K623" s="765">
        <v>2.9159999999999999</v>
      </c>
      <c r="L623" s="765">
        <v>5.48</v>
      </c>
      <c r="M623" s="765">
        <v>2</v>
      </c>
      <c r="N623" s="765">
        <v>0</v>
      </c>
      <c r="O623" s="765">
        <v>0</v>
      </c>
      <c r="P623" s="77">
        <f>SUM(B623:O623)</f>
        <v>152.5042</v>
      </c>
    </row>
    <row r="624" spans="1:43" ht="15">
      <c r="J624" s="102"/>
    </row>
    <row r="625" spans="1:25" ht="15.75" thickBot="1">
      <c r="A625" s="59" t="s">
        <v>559</v>
      </c>
      <c r="J625" s="102"/>
      <c r="K625" s="75"/>
    </row>
    <row r="626" spans="1:25" ht="15.75" thickBot="1">
      <c r="A626" s="764" t="s">
        <v>560</v>
      </c>
      <c r="B626" s="767">
        <f>Y630</f>
        <v>116.36</v>
      </c>
      <c r="C626" s="599" t="s">
        <v>84</v>
      </c>
      <c r="D626" s="275"/>
      <c r="E626" s="127"/>
      <c r="F626" s="127"/>
      <c r="G626" s="276"/>
      <c r="H626" s="127"/>
      <c r="I626" s="127"/>
      <c r="J626" s="102"/>
    </row>
    <row r="627" spans="1:25" ht="15.75" thickBot="1">
      <c r="A627" s="764" t="s">
        <v>561</v>
      </c>
      <c r="B627" s="767">
        <f>Y631</f>
        <v>0</v>
      </c>
      <c r="C627" s="599" t="s">
        <v>84</v>
      </c>
      <c r="D627" s="275"/>
      <c r="E627" s="127"/>
      <c r="F627" s="127"/>
      <c r="G627" s="276"/>
      <c r="H627" s="127"/>
      <c r="I627" s="127"/>
      <c r="J627" s="102"/>
    </row>
    <row r="628" spans="1:25" ht="15">
      <c r="J628" s="102"/>
    </row>
    <row r="629" spans="1:25" ht="15.75" thickBot="1">
      <c r="A629" s="59" t="s">
        <v>562</v>
      </c>
      <c r="J629" s="102"/>
    </row>
    <row r="630" spans="1:25" ht="15.75" thickBot="1">
      <c r="A630" s="764" t="s">
        <v>562</v>
      </c>
      <c r="B630" s="765">
        <v>11.11</v>
      </c>
      <c r="C630" s="765">
        <v>14.18</v>
      </c>
      <c r="D630" s="765">
        <v>8.0500000000000007</v>
      </c>
      <c r="E630" s="765">
        <v>2.74</v>
      </c>
      <c r="F630" s="765">
        <v>2.74</v>
      </c>
      <c r="G630" s="91">
        <v>70.66</v>
      </c>
      <c r="H630" s="765">
        <v>6.88</v>
      </c>
      <c r="I630" s="765">
        <v>0</v>
      </c>
      <c r="J630" s="91">
        <v>0</v>
      </c>
      <c r="K630" s="765">
        <v>0</v>
      </c>
      <c r="L630" s="765">
        <v>0</v>
      </c>
      <c r="M630" s="91">
        <v>0</v>
      </c>
      <c r="N630" s="765">
        <v>0</v>
      </c>
      <c r="O630" s="765">
        <v>0</v>
      </c>
      <c r="P630" s="91">
        <v>0</v>
      </c>
      <c r="Q630" s="765">
        <v>0</v>
      </c>
      <c r="R630" s="765">
        <v>0</v>
      </c>
      <c r="S630" s="91">
        <v>0</v>
      </c>
      <c r="T630" s="765">
        <v>0</v>
      </c>
      <c r="U630" s="765">
        <v>0</v>
      </c>
      <c r="V630" s="91">
        <v>0</v>
      </c>
      <c r="W630" s="765">
        <v>0</v>
      </c>
      <c r="X630" s="765">
        <v>0</v>
      </c>
      <c r="Y630" s="77">
        <f>SUM(B630:X630)</f>
        <v>116.36</v>
      </c>
    </row>
    <row r="631" spans="1:25" ht="15.75" thickBot="1">
      <c r="A631" s="764" t="str">
        <f>A627</f>
        <v>Stair screeding</v>
      </c>
      <c r="B631" s="765">
        <v>0</v>
      </c>
      <c r="C631" s="765">
        <v>0</v>
      </c>
      <c r="D631" s="765">
        <v>0</v>
      </c>
      <c r="E631" s="765">
        <v>0</v>
      </c>
      <c r="F631" s="765">
        <v>0</v>
      </c>
      <c r="G631" s="91">
        <v>0</v>
      </c>
      <c r="H631" s="765">
        <v>0</v>
      </c>
      <c r="I631" s="765">
        <v>0</v>
      </c>
      <c r="J631" s="91">
        <v>0</v>
      </c>
      <c r="K631" s="765">
        <v>0</v>
      </c>
      <c r="L631" s="765">
        <v>0</v>
      </c>
      <c r="M631" s="91">
        <v>0</v>
      </c>
      <c r="N631" s="765">
        <v>0</v>
      </c>
      <c r="O631" s="765">
        <v>0</v>
      </c>
      <c r="P631" s="91">
        <v>0</v>
      </c>
      <c r="Q631" s="765">
        <v>0</v>
      </c>
      <c r="R631" s="765">
        <v>0</v>
      </c>
      <c r="S631" s="91">
        <v>0</v>
      </c>
      <c r="T631" s="765">
        <v>0</v>
      </c>
      <c r="U631" s="765">
        <v>0</v>
      </c>
      <c r="V631" s="91">
        <v>0</v>
      </c>
      <c r="W631" s="765">
        <v>0</v>
      </c>
      <c r="X631" s="765">
        <v>0</v>
      </c>
      <c r="Y631" s="77">
        <f>SUM(B631:X631)</f>
        <v>0</v>
      </c>
    </row>
    <row r="633" spans="1:25" ht="15.75" thickBot="1">
      <c r="A633" s="59" t="s">
        <v>563</v>
      </c>
    </row>
    <row r="634" spans="1:25" ht="15.75" thickBot="1">
      <c r="A634" s="326" t="s">
        <v>564</v>
      </c>
      <c r="B634" s="297">
        <f>B585</f>
        <v>138.995</v>
      </c>
      <c r="C634" s="599" t="s">
        <v>84</v>
      </c>
    </row>
    <row r="635" spans="1:25" ht="15.75" thickBot="1">
      <c r="A635" s="326" t="s">
        <v>565</v>
      </c>
      <c r="B635" s="297">
        <f>B614</f>
        <v>417.92697000000004</v>
      </c>
      <c r="C635" s="599" t="s">
        <v>84</v>
      </c>
    </row>
    <row r="636" spans="1:25" ht="15.75" thickBot="1">
      <c r="A636" s="326" t="s">
        <v>566</v>
      </c>
      <c r="B636" s="297">
        <f>Y639</f>
        <v>86.889999999999986</v>
      </c>
      <c r="C636" s="599" t="s">
        <v>84</v>
      </c>
    </row>
    <row r="638" spans="1:25" ht="15.75" thickBot="1">
      <c r="A638" s="59" t="s">
        <v>566</v>
      </c>
      <c r="J638" s="102"/>
    </row>
    <row r="639" spans="1:25" ht="15.75" thickBot="1">
      <c r="A639" s="764" t="str">
        <f>A636</f>
        <v>Ceiling Paiting</v>
      </c>
      <c r="B639" s="765">
        <v>11.18</v>
      </c>
      <c r="C639" s="765">
        <v>14.18</v>
      </c>
      <c r="D639" s="765">
        <v>8.0500000000000007</v>
      </c>
      <c r="E639" s="765">
        <v>2.73</v>
      </c>
      <c r="F639" s="765">
        <v>2.73</v>
      </c>
      <c r="G639" s="91">
        <v>35.64</v>
      </c>
      <c r="H639" s="765">
        <v>6.88</v>
      </c>
      <c r="I639" s="765">
        <v>5.5</v>
      </c>
      <c r="J639" s="91">
        <v>0</v>
      </c>
      <c r="K639" s="765">
        <v>0</v>
      </c>
      <c r="L639" s="765">
        <v>0</v>
      </c>
      <c r="M639" s="91">
        <v>0</v>
      </c>
      <c r="N639" s="765">
        <v>0</v>
      </c>
      <c r="O639" s="765">
        <v>0</v>
      </c>
      <c r="P639" s="91">
        <v>0</v>
      </c>
      <c r="Q639" s="765">
        <v>0</v>
      </c>
      <c r="R639" s="765">
        <v>0</v>
      </c>
      <c r="S639" s="91">
        <v>0</v>
      </c>
      <c r="T639" s="765">
        <v>0</v>
      </c>
      <c r="U639" s="765">
        <v>0</v>
      </c>
      <c r="V639" s="91">
        <v>0</v>
      </c>
      <c r="W639" s="765">
        <v>0</v>
      </c>
      <c r="X639" s="765">
        <v>0</v>
      </c>
      <c r="Y639" s="77">
        <f>SUM(B639:X639)</f>
        <v>86.889999999999986</v>
      </c>
    </row>
    <row r="641" spans="1:43" ht="15.75" thickBot="1">
      <c r="A641" s="59" t="s">
        <v>567</v>
      </c>
    </row>
    <row r="642" spans="1:43" ht="13.5" thickBot="1">
      <c r="A642" s="298" t="s">
        <v>568</v>
      </c>
      <c r="B642" s="90">
        <f>F647</f>
        <v>40.209999999999994</v>
      </c>
      <c r="C642" s="600" t="s">
        <v>84</v>
      </c>
    </row>
    <row r="643" spans="1:43" s="56" customFormat="1" ht="15.75" thickBot="1">
      <c r="A643" s="299" t="s">
        <v>382</v>
      </c>
      <c r="B643" s="300" t="s">
        <v>569</v>
      </c>
      <c r="C643" s="300" t="s">
        <v>409</v>
      </c>
      <c r="D643" s="300" t="s">
        <v>570</v>
      </c>
      <c r="E643" s="300" t="s">
        <v>571</v>
      </c>
      <c r="F643" s="301" t="s">
        <v>572</v>
      </c>
      <c r="G643" s="10"/>
      <c r="H643" s="8"/>
      <c r="I643" s="8"/>
      <c r="J643" s="127"/>
      <c r="K643" s="127"/>
      <c r="L643" s="127"/>
      <c r="M643" s="127"/>
      <c r="N643" s="127"/>
      <c r="O643" s="127"/>
      <c r="P643" s="127"/>
      <c r="Q643" s="127"/>
      <c r="R643" s="127"/>
      <c r="S643" s="127"/>
      <c r="T643" s="127"/>
      <c r="U643" s="127"/>
      <c r="V643" s="127"/>
      <c r="W643" s="127"/>
      <c r="X643" s="127"/>
      <c r="Y643" s="127"/>
      <c r="Z643" s="127"/>
      <c r="AA643" s="127"/>
      <c r="AB643" s="127"/>
      <c r="AC643" s="127"/>
      <c r="AD643" s="127"/>
      <c r="AE643" s="127"/>
      <c r="AF643" s="127"/>
      <c r="AG643" s="276"/>
      <c r="AH643" s="127"/>
      <c r="AI643" s="127"/>
      <c r="AJ643" s="127"/>
      <c r="AK643" s="127"/>
      <c r="AL643" s="127"/>
      <c r="AM643" s="127"/>
      <c r="AN643" s="127"/>
      <c r="AO643" s="127"/>
      <c r="AP643" s="127"/>
      <c r="AQ643" s="276"/>
    </row>
    <row r="644" spans="1:43">
      <c r="A644" s="61"/>
      <c r="B644" s="61"/>
      <c r="C644" s="61"/>
      <c r="D644" s="61"/>
      <c r="E644" s="61"/>
      <c r="F644" s="61"/>
    </row>
    <row r="645" spans="1:43" ht="15">
      <c r="A645" s="68" t="s">
        <v>573</v>
      </c>
      <c r="B645" s="64" t="s">
        <v>574</v>
      </c>
      <c r="C645" s="78">
        <f>Q650</f>
        <v>40.209999999999994</v>
      </c>
      <c r="D645" s="78">
        <f>Q651</f>
        <v>0</v>
      </c>
      <c r="E645" s="78">
        <f>0.1*D645</f>
        <v>0</v>
      </c>
      <c r="F645" s="79">
        <f>E645+C645</f>
        <v>40.209999999999994</v>
      </c>
      <c r="G645" s="60"/>
    </row>
    <row r="646" spans="1:43" s="56" customFormat="1" ht="15.75" thickBot="1">
      <c r="A646" s="68"/>
      <c r="B646" s="64"/>
      <c r="C646" s="78"/>
      <c r="D646" s="78"/>
      <c r="E646" s="78"/>
      <c r="F646" s="79"/>
      <c r="G646" s="60"/>
      <c r="H646" s="8"/>
      <c r="I646" s="8"/>
      <c r="J646" s="127"/>
      <c r="K646" s="127"/>
      <c r="L646" s="127"/>
      <c r="M646" s="127"/>
      <c r="N646" s="127"/>
      <c r="O646" s="127"/>
      <c r="P646" s="127"/>
      <c r="Q646" s="127"/>
      <c r="R646" s="127"/>
      <c r="S646" s="127"/>
      <c r="T646" s="127"/>
      <c r="U646" s="127"/>
      <c r="V646" s="127"/>
      <c r="W646" s="127"/>
      <c r="X646" s="127"/>
      <c r="Y646" s="127"/>
      <c r="Z646" s="127"/>
      <c r="AA646" s="127"/>
      <c r="AB646" s="127"/>
      <c r="AC646" s="127"/>
      <c r="AD646" s="127"/>
      <c r="AE646" s="127"/>
      <c r="AF646" s="127"/>
      <c r="AG646" s="276"/>
      <c r="AH646" s="127"/>
      <c r="AI646" s="127"/>
      <c r="AJ646" s="127"/>
      <c r="AK646" s="127"/>
      <c r="AL646" s="127"/>
      <c r="AM646" s="127"/>
      <c r="AN646" s="127"/>
      <c r="AO646" s="127"/>
      <c r="AP646" s="127"/>
      <c r="AQ646" s="276"/>
    </row>
    <row r="647" spans="1:43" ht="13.5" thickBot="1">
      <c r="A647" s="964" t="s">
        <v>393</v>
      </c>
      <c r="B647" s="965"/>
      <c r="C647" s="965"/>
      <c r="D647" s="965"/>
      <c r="E647" s="966"/>
      <c r="F647" s="111">
        <f>SUM(F645:F646)</f>
        <v>40.209999999999994</v>
      </c>
    </row>
    <row r="649" spans="1:43" ht="15.75" thickBot="1">
      <c r="A649" s="59" t="s">
        <v>575</v>
      </c>
    </row>
    <row r="650" spans="1:43" ht="15">
      <c r="A650" s="764" t="s">
        <v>576</v>
      </c>
      <c r="B650" s="765">
        <v>11.18</v>
      </c>
      <c r="C650" s="765">
        <v>14.18</v>
      </c>
      <c r="D650" s="765">
        <v>8.0500000000000007</v>
      </c>
      <c r="E650" s="765">
        <v>6.8</v>
      </c>
      <c r="F650" s="765">
        <v>0</v>
      </c>
      <c r="G650" s="765">
        <v>0</v>
      </c>
      <c r="H650" s="765">
        <v>0</v>
      </c>
      <c r="I650" s="765">
        <v>0</v>
      </c>
      <c r="J650" s="765">
        <v>0</v>
      </c>
      <c r="K650" s="765">
        <v>0</v>
      </c>
      <c r="L650" s="765">
        <v>0</v>
      </c>
      <c r="M650" s="765">
        <v>0</v>
      </c>
      <c r="N650" s="765">
        <v>0</v>
      </c>
      <c r="O650" s="765">
        <v>0</v>
      </c>
      <c r="P650" s="765">
        <v>0</v>
      </c>
      <c r="Q650" s="302">
        <f>SUM(B650:P650)</f>
        <v>40.209999999999994</v>
      </c>
    </row>
    <row r="651" spans="1:43" ht="15.75" thickBot="1">
      <c r="A651" s="764" t="s">
        <v>570</v>
      </c>
      <c r="B651" s="765">
        <v>0</v>
      </c>
      <c r="C651" s="765">
        <v>0</v>
      </c>
      <c r="D651" s="765">
        <v>0</v>
      </c>
      <c r="E651" s="765">
        <v>0</v>
      </c>
      <c r="F651" s="765">
        <v>0</v>
      </c>
      <c r="G651" s="765">
        <v>0</v>
      </c>
      <c r="H651" s="765">
        <v>0</v>
      </c>
      <c r="I651" s="765">
        <v>0</v>
      </c>
      <c r="J651" s="765">
        <v>0</v>
      </c>
      <c r="K651" s="765">
        <v>0</v>
      </c>
      <c r="L651" s="765">
        <v>0</v>
      </c>
      <c r="M651" s="765">
        <v>0</v>
      </c>
      <c r="N651" s="765">
        <v>0</v>
      </c>
      <c r="O651" s="765">
        <v>0</v>
      </c>
      <c r="P651" s="765">
        <v>0</v>
      </c>
      <c r="Q651" s="303">
        <f>SUM(B651:P651)</f>
        <v>0</v>
      </c>
    </row>
    <row r="652" spans="1:43" ht="13.5" thickBot="1"/>
    <row r="653" spans="1:43" ht="13.5" thickBot="1">
      <c r="A653" s="298" t="s">
        <v>632</v>
      </c>
      <c r="B653" s="90">
        <f>F658</f>
        <v>70.66</v>
      </c>
      <c r="C653" s="600" t="s">
        <v>84</v>
      </c>
    </row>
    <row r="654" spans="1:43" s="56" customFormat="1" ht="15.75" thickBot="1">
      <c r="A654" s="299" t="s">
        <v>382</v>
      </c>
      <c r="B654" s="300" t="s">
        <v>569</v>
      </c>
      <c r="C654" s="300" t="s">
        <v>409</v>
      </c>
      <c r="D654" s="300" t="s">
        <v>570</v>
      </c>
      <c r="E654" s="300" t="s">
        <v>571</v>
      </c>
      <c r="F654" s="301" t="s">
        <v>572</v>
      </c>
      <c r="G654" s="10"/>
      <c r="H654" s="8"/>
      <c r="I654" s="8"/>
      <c r="J654" s="127"/>
      <c r="K654" s="127"/>
      <c r="L654" s="127"/>
      <c r="M654" s="127"/>
      <c r="N654" s="127"/>
      <c r="O654" s="127"/>
      <c r="P654" s="127"/>
      <c r="Q654" s="127"/>
      <c r="R654" s="127"/>
      <c r="S654" s="127"/>
      <c r="T654" s="127"/>
      <c r="U654" s="127"/>
      <c r="V654" s="127"/>
      <c r="W654" s="127"/>
      <c r="X654" s="127"/>
      <c r="Y654" s="127"/>
      <c r="Z654" s="127"/>
      <c r="AA654" s="127"/>
      <c r="AB654" s="127"/>
      <c r="AC654" s="127"/>
      <c r="AD654" s="127"/>
      <c r="AE654" s="127"/>
      <c r="AF654" s="127"/>
      <c r="AG654" s="276"/>
      <c r="AH654" s="127"/>
      <c r="AI654" s="127"/>
      <c r="AJ654" s="127"/>
      <c r="AK654" s="127"/>
      <c r="AL654" s="127"/>
      <c r="AM654" s="127"/>
      <c r="AN654" s="127"/>
      <c r="AO654" s="127"/>
      <c r="AP654" s="127"/>
      <c r="AQ654" s="276"/>
    </row>
    <row r="655" spans="1:43">
      <c r="A655" s="61"/>
      <c r="B655" s="61"/>
      <c r="C655" s="61"/>
      <c r="D655" s="61"/>
      <c r="E655" s="61"/>
      <c r="F655" s="61"/>
    </row>
    <row r="656" spans="1:43" ht="15">
      <c r="A656" s="68" t="s">
        <v>573</v>
      </c>
      <c r="B656" s="64" t="s">
        <v>574</v>
      </c>
      <c r="C656" s="78">
        <f>Q661</f>
        <v>70.66</v>
      </c>
      <c r="D656" s="78">
        <f>Q662</f>
        <v>0</v>
      </c>
      <c r="E656" s="78">
        <f>0.1*D656</f>
        <v>0</v>
      </c>
      <c r="F656" s="79">
        <f>E656+C656</f>
        <v>70.66</v>
      </c>
      <c r="G656" s="60"/>
    </row>
    <row r="657" spans="1:43" s="56" customFormat="1" ht="15.75" thickBot="1">
      <c r="A657" s="68"/>
      <c r="B657" s="64"/>
      <c r="C657" s="78"/>
      <c r="D657" s="78"/>
      <c r="E657" s="78"/>
      <c r="F657" s="79"/>
      <c r="G657" s="60"/>
      <c r="H657" s="8"/>
      <c r="I657" s="8"/>
      <c r="J657" s="127"/>
      <c r="K657" s="127"/>
      <c r="L657" s="127"/>
      <c r="M657" s="127"/>
      <c r="N657" s="127"/>
      <c r="O657" s="127"/>
      <c r="P657" s="127"/>
      <c r="Q657" s="127"/>
      <c r="R657" s="127"/>
      <c r="S657" s="127"/>
      <c r="T657" s="127"/>
      <c r="U657" s="127"/>
      <c r="V657" s="127"/>
      <c r="W657" s="127"/>
      <c r="X657" s="127"/>
      <c r="Y657" s="127"/>
      <c r="Z657" s="127"/>
      <c r="AA657" s="127"/>
      <c r="AB657" s="127"/>
      <c r="AC657" s="127"/>
      <c r="AD657" s="127"/>
      <c r="AE657" s="127"/>
      <c r="AF657" s="127"/>
      <c r="AG657" s="276"/>
      <c r="AH657" s="127"/>
      <c r="AI657" s="127"/>
      <c r="AJ657" s="127"/>
      <c r="AK657" s="127"/>
      <c r="AL657" s="127"/>
      <c r="AM657" s="127"/>
      <c r="AN657" s="127"/>
      <c r="AO657" s="127"/>
      <c r="AP657" s="127"/>
      <c r="AQ657" s="276"/>
    </row>
    <row r="658" spans="1:43" ht="13.5" thickBot="1">
      <c r="A658" s="964" t="s">
        <v>393</v>
      </c>
      <c r="B658" s="965"/>
      <c r="C658" s="965"/>
      <c r="D658" s="965"/>
      <c r="E658" s="966"/>
      <c r="F658" s="111">
        <f>SUM(F656:F657)</f>
        <v>70.66</v>
      </c>
    </row>
    <row r="660" spans="1:43" ht="15.75" thickBot="1">
      <c r="A660" s="59" t="s">
        <v>575</v>
      </c>
    </row>
    <row r="661" spans="1:43" ht="15">
      <c r="A661" s="764" t="s">
        <v>576</v>
      </c>
      <c r="B661" s="765">
        <v>70.66</v>
      </c>
      <c r="C661" s="765">
        <v>0</v>
      </c>
      <c r="D661" s="765">
        <v>0</v>
      </c>
      <c r="E661" s="765">
        <v>0</v>
      </c>
      <c r="F661" s="765">
        <v>0</v>
      </c>
      <c r="G661" s="765">
        <v>0</v>
      </c>
      <c r="H661" s="765">
        <v>0</v>
      </c>
      <c r="I661" s="765">
        <v>0</v>
      </c>
      <c r="J661" s="765">
        <v>0</v>
      </c>
      <c r="K661" s="765">
        <v>0</v>
      </c>
      <c r="L661" s="765">
        <v>0</v>
      </c>
      <c r="M661" s="765">
        <v>0</v>
      </c>
      <c r="N661" s="765">
        <v>0</v>
      </c>
      <c r="O661" s="765">
        <v>0</v>
      </c>
      <c r="P661" s="765">
        <v>0</v>
      </c>
      <c r="Q661" s="302">
        <f>SUM(B661:P661)</f>
        <v>70.66</v>
      </c>
    </row>
    <row r="662" spans="1:43" ht="15.75" thickBot="1">
      <c r="A662" s="764" t="s">
        <v>570</v>
      </c>
      <c r="B662" s="765">
        <v>0</v>
      </c>
      <c r="C662" s="765">
        <v>0</v>
      </c>
      <c r="D662" s="765">
        <v>0</v>
      </c>
      <c r="E662" s="765">
        <v>0</v>
      </c>
      <c r="F662" s="765">
        <v>0</v>
      </c>
      <c r="G662" s="765">
        <v>0</v>
      </c>
      <c r="H662" s="765">
        <v>0</v>
      </c>
      <c r="I662" s="765">
        <v>0</v>
      </c>
      <c r="J662" s="765">
        <v>0</v>
      </c>
      <c r="K662" s="765">
        <v>0</v>
      </c>
      <c r="L662" s="765">
        <v>0</v>
      </c>
      <c r="M662" s="765">
        <v>0</v>
      </c>
      <c r="N662" s="765">
        <v>0</v>
      </c>
      <c r="O662" s="765">
        <v>0</v>
      </c>
      <c r="P662" s="765">
        <v>0</v>
      </c>
      <c r="Q662" s="303">
        <f>SUM(B662:P662)</f>
        <v>0</v>
      </c>
    </row>
    <row r="663" spans="1:43" ht="13.5" thickBot="1"/>
    <row r="664" spans="1:43" ht="13.5" thickBot="1">
      <c r="A664" s="298" t="s">
        <v>577</v>
      </c>
      <c r="B664" s="90">
        <f>D669</f>
        <v>5.48</v>
      </c>
      <c r="C664" s="83" t="s">
        <v>84</v>
      </c>
    </row>
    <row r="665" spans="1:43" ht="13.5" thickBot="1">
      <c r="A665" s="283" t="s">
        <v>382</v>
      </c>
      <c r="B665" s="284" t="s">
        <v>569</v>
      </c>
      <c r="C665" s="284" t="s">
        <v>409</v>
      </c>
      <c r="D665" s="285" t="s">
        <v>572</v>
      </c>
      <c r="E665" s="10"/>
    </row>
    <row r="666" spans="1:43" ht="15">
      <c r="A666" s="84" t="s">
        <v>578</v>
      </c>
      <c r="B666" s="66" t="s">
        <v>579</v>
      </c>
      <c r="C666" s="82">
        <f>K672</f>
        <v>5.48</v>
      </c>
      <c r="D666" s="88">
        <f>C666</f>
        <v>5.48</v>
      </c>
      <c r="E666" s="60"/>
    </row>
    <row r="667" spans="1:43" ht="15">
      <c r="A667" s="68"/>
      <c r="B667" s="85"/>
      <c r="C667" s="78"/>
      <c r="D667" s="79"/>
      <c r="E667" s="60"/>
    </row>
    <row r="668" spans="1:43" ht="15.75" thickBot="1">
      <c r="A668" s="68"/>
      <c r="B668" s="85"/>
      <c r="C668" s="78"/>
      <c r="D668" s="79"/>
      <c r="E668" s="60"/>
    </row>
    <row r="669" spans="1:43" ht="13.5" thickBot="1">
      <c r="A669" s="967" t="s">
        <v>393</v>
      </c>
      <c r="B669" s="959"/>
      <c r="C669" s="960"/>
      <c r="D669" s="111">
        <f>SUM(D666:D668)</f>
        <v>5.48</v>
      </c>
    </row>
    <row r="670" spans="1:43" s="56" customFormat="1" ht="15">
      <c r="A670" s="8"/>
      <c r="B670" s="8"/>
      <c r="C670" s="8"/>
      <c r="D670" s="8"/>
      <c r="E670" s="8"/>
      <c r="F670" s="8"/>
      <c r="G670" s="8"/>
      <c r="H670" s="8"/>
      <c r="I670" s="8"/>
      <c r="AH670" s="127"/>
      <c r="AI670" s="127"/>
      <c r="AJ670" s="127"/>
      <c r="AK670" s="127"/>
      <c r="AL670" s="127"/>
      <c r="AM670" s="127"/>
      <c r="AN670" s="127"/>
      <c r="AO670" s="127"/>
      <c r="AP670" s="127"/>
      <c r="AQ670" s="276"/>
    </row>
    <row r="671" spans="1:43" ht="15.75" thickBot="1">
      <c r="A671" s="59" t="s">
        <v>575</v>
      </c>
    </row>
    <row r="672" spans="1:43" ht="15.75" thickBot="1">
      <c r="A672" s="764" t="s">
        <v>576</v>
      </c>
      <c r="B672" s="765">
        <v>2.74</v>
      </c>
      <c r="C672" s="765">
        <v>2.74</v>
      </c>
      <c r="D672" s="765">
        <v>0</v>
      </c>
      <c r="E672" s="765">
        <v>0</v>
      </c>
      <c r="F672" s="765">
        <v>0</v>
      </c>
      <c r="G672" s="765">
        <v>0</v>
      </c>
      <c r="H672" s="765">
        <v>0</v>
      </c>
      <c r="I672" s="765">
        <v>0</v>
      </c>
      <c r="J672" s="765">
        <v>0</v>
      </c>
      <c r="K672" s="282">
        <f>SUM(B672:J672)</f>
        <v>5.48</v>
      </c>
      <c r="L672" s="278"/>
      <c r="M672" s="127"/>
      <c r="N672" s="127"/>
      <c r="O672" s="127"/>
      <c r="P672" s="127"/>
      <c r="Q672" s="127"/>
      <c r="R672" s="127"/>
      <c r="S672" s="127"/>
      <c r="T672" s="127"/>
      <c r="U672" s="127"/>
      <c r="V672" s="127"/>
      <c r="W672" s="127"/>
      <c r="X672" s="127"/>
      <c r="Y672" s="127"/>
      <c r="Z672" s="127"/>
      <c r="AA672" s="127"/>
      <c r="AB672" s="127"/>
      <c r="AC672" s="127"/>
      <c r="AD672" s="127"/>
      <c r="AE672" s="127"/>
      <c r="AF672" s="127"/>
    </row>
    <row r="674" spans="1:43" ht="13.5" thickBot="1"/>
    <row r="675" spans="1:43" ht="13.5" thickBot="1">
      <c r="A675" s="304" t="s">
        <v>580</v>
      </c>
      <c r="B675" s="86">
        <f>E681</f>
        <v>30.380000000000003</v>
      </c>
      <c r="C675" s="87" t="s">
        <v>84</v>
      </c>
    </row>
    <row r="676" spans="1:43" ht="13.5" thickBot="1">
      <c r="A676" s="283" t="s">
        <v>382</v>
      </c>
      <c r="B676" s="284" t="s">
        <v>569</v>
      </c>
      <c r="C676" s="305" t="s">
        <v>383</v>
      </c>
      <c r="D676" s="305" t="s">
        <v>385</v>
      </c>
      <c r="E676" s="285" t="s">
        <v>572</v>
      </c>
    </row>
    <row r="677" spans="1:43" ht="15">
      <c r="A677" s="84" t="s">
        <v>581</v>
      </c>
      <c r="B677" s="66" t="s">
        <v>582</v>
      </c>
      <c r="C677" s="82">
        <f>K684</f>
        <v>13.24</v>
      </c>
      <c r="D677" s="88">
        <v>2.5</v>
      </c>
      <c r="E677" s="88">
        <f>D677*C677</f>
        <v>33.1</v>
      </c>
    </row>
    <row r="678" spans="1:43" ht="15">
      <c r="A678" s="68"/>
      <c r="B678" s="85"/>
      <c r="C678" s="78"/>
      <c r="D678" s="79"/>
      <c r="E678" s="79"/>
    </row>
    <row r="679" spans="1:43" s="56" customFormat="1" ht="15">
      <c r="A679" s="279" t="s">
        <v>583</v>
      </c>
      <c r="B679" s="85"/>
      <c r="C679" s="78">
        <v>0</v>
      </c>
      <c r="D679" s="79">
        <v>0</v>
      </c>
      <c r="E679" s="79">
        <f>K685</f>
        <v>2.72</v>
      </c>
      <c r="F679" s="8"/>
      <c r="G679" s="8"/>
      <c r="H679" s="8"/>
      <c r="I679" s="8"/>
      <c r="AH679" s="127"/>
      <c r="AI679" s="127"/>
      <c r="AJ679" s="127"/>
      <c r="AK679" s="127"/>
      <c r="AL679" s="127"/>
      <c r="AM679" s="127"/>
      <c r="AN679" s="127"/>
      <c r="AO679" s="127"/>
      <c r="AP679" s="127"/>
      <c r="AQ679" s="276"/>
    </row>
    <row r="680" spans="1:43" ht="15.75" thickBot="1">
      <c r="A680" s="68"/>
      <c r="B680" s="85"/>
      <c r="C680" s="78"/>
      <c r="D680" s="79"/>
      <c r="E680" s="79"/>
    </row>
    <row r="681" spans="1:43" ht="13.5" thickBot="1">
      <c r="A681" s="967" t="s">
        <v>393</v>
      </c>
      <c r="B681" s="959"/>
      <c r="C681" s="959"/>
      <c r="D681" s="960"/>
      <c r="E681" s="111">
        <f>E677-E679</f>
        <v>30.380000000000003</v>
      </c>
    </row>
    <row r="683" spans="1:43" ht="15.75" thickBot="1">
      <c r="A683" s="59" t="s">
        <v>584</v>
      </c>
    </row>
    <row r="684" spans="1:43" ht="15.75" thickBot="1">
      <c r="A684" s="764" t="s">
        <v>383</v>
      </c>
      <c r="B684" s="765">
        <v>6.62</v>
      </c>
      <c r="C684" s="765">
        <v>6.62</v>
      </c>
      <c r="D684" s="765">
        <v>0</v>
      </c>
      <c r="E684" s="765">
        <v>0</v>
      </c>
      <c r="F684" s="765">
        <v>0</v>
      </c>
      <c r="G684" s="765">
        <v>0</v>
      </c>
      <c r="H684" s="765">
        <v>0</v>
      </c>
      <c r="I684" s="765">
        <v>0</v>
      </c>
      <c r="J684" s="765">
        <v>0</v>
      </c>
      <c r="K684" s="282">
        <f>SUM(B684:J684)</f>
        <v>13.24</v>
      </c>
      <c r="L684" s="278"/>
      <c r="M684" s="127"/>
      <c r="N684" s="127"/>
      <c r="O684" s="127"/>
      <c r="P684" s="127"/>
      <c r="Q684" s="127"/>
      <c r="R684" s="127"/>
      <c r="S684" s="127"/>
      <c r="T684" s="127"/>
      <c r="U684" s="127"/>
      <c r="V684" s="127"/>
      <c r="W684" s="127"/>
      <c r="X684" s="127"/>
      <c r="Y684" s="127"/>
      <c r="Z684" s="127"/>
      <c r="AA684" s="127"/>
      <c r="AB684" s="127"/>
      <c r="AC684" s="127"/>
      <c r="AD684" s="127"/>
      <c r="AE684" s="127"/>
      <c r="AF684" s="127"/>
    </row>
    <row r="685" spans="1:43" ht="15.75" thickBot="1">
      <c r="A685" s="764" t="s">
        <v>447</v>
      </c>
      <c r="B685" s="768">
        <v>1.36</v>
      </c>
      <c r="C685" s="768">
        <v>1.36</v>
      </c>
      <c r="D685" s="768">
        <v>0</v>
      </c>
      <c r="E685" s="768">
        <v>0</v>
      </c>
      <c r="F685" s="768">
        <v>0</v>
      </c>
      <c r="G685" s="768">
        <v>0</v>
      </c>
      <c r="H685" s="768">
        <v>0</v>
      </c>
      <c r="I685" s="768">
        <v>0</v>
      </c>
      <c r="J685" s="765">
        <v>0</v>
      </c>
      <c r="K685" s="282">
        <f>SUM(B685:J685)</f>
        <v>2.72</v>
      </c>
      <c r="L685" s="278"/>
      <c r="M685" s="127"/>
      <c r="N685" s="127"/>
      <c r="O685" s="127"/>
      <c r="P685" s="127"/>
      <c r="Q685" s="127"/>
      <c r="R685" s="127"/>
      <c r="S685" s="127"/>
      <c r="T685" s="127"/>
      <c r="U685" s="127"/>
      <c r="V685" s="127"/>
      <c r="W685" s="127"/>
      <c r="X685" s="127"/>
      <c r="Y685" s="127"/>
      <c r="Z685" s="127"/>
      <c r="AA685" s="127"/>
      <c r="AB685" s="127"/>
      <c r="AC685" s="127"/>
      <c r="AD685" s="127"/>
      <c r="AE685" s="127"/>
      <c r="AF685" s="127"/>
    </row>
    <row r="687" spans="1:43" ht="13.5" thickBot="1"/>
    <row r="688" spans="1:43" ht="13.5" thickBot="1">
      <c r="A688" s="304" t="s">
        <v>585</v>
      </c>
      <c r="B688" s="325">
        <f>E694</f>
        <v>0</v>
      </c>
      <c r="C688" s="87" t="s">
        <v>84</v>
      </c>
    </row>
    <row r="689" spans="1:32" ht="13.5" thickBot="1">
      <c r="A689" s="283" t="s">
        <v>382</v>
      </c>
      <c r="B689" s="305" t="s">
        <v>291</v>
      </c>
      <c r="C689" s="305" t="s">
        <v>383</v>
      </c>
      <c r="D689" s="305" t="s">
        <v>385</v>
      </c>
      <c r="E689" s="285" t="s">
        <v>572</v>
      </c>
    </row>
    <row r="690" spans="1:32" ht="15">
      <c r="A690" s="84" t="s">
        <v>586</v>
      </c>
      <c r="B690" s="66">
        <v>0</v>
      </c>
      <c r="C690" s="82">
        <v>0</v>
      </c>
      <c r="D690" s="601">
        <v>0</v>
      </c>
      <c r="E690" s="88">
        <f>B690*C690*D690</f>
        <v>0</v>
      </c>
    </row>
    <row r="691" spans="1:32" ht="15">
      <c r="A691" s="68" t="s">
        <v>587</v>
      </c>
      <c r="B691" s="85">
        <v>0</v>
      </c>
      <c r="C691" s="78">
        <v>0</v>
      </c>
      <c r="D691" s="602">
        <v>0</v>
      </c>
      <c r="E691" s="79">
        <f>D691*C691*B691</f>
        <v>0</v>
      </c>
    </row>
    <row r="692" spans="1:32" ht="15">
      <c r="A692" s="68" t="s">
        <v>588</v>
      </c>
      <c r="B692" s="85">
        <v>1</v>
      </c>
      <c r="C692" s="78">
        <f>K697</f>
        <v>0</v>
      </c>
      <c r="D692" s="602">
        <v>0</v>
      </c>
      <c r="E692" s="79">
        <f>D692*C692*B692</f>
        <v>0</v>
      </c>
    </row>
    <row r="693" spans="1:32" ht="15.75" thickBot="1">
      <c r="A693" s="68"/>
      <c r="B693" s="85"/>
      <c r="C693" s="78"/>
      <c r="D693" s="79"/>
      <c r="E693" s="79"/>
    </row>
    <row r="694" spans="1:32" ht="13.5" thickBot="1">
      <c r="A694" s="967" t="s">
        <v>393</v>
      </c>
      <c r="B694" s="959"/>
      <c r="C694" s="959"/>
      <c r="D694" s="960"/>
      <c r="E694" s="111">
        <f>SUM(E690:E693)</f>
        <v>0</v>
      </c>
    </row>
    <row r="696" spans="1:32" ht="15.75" thickBot="1">
      <c r="A696" s="59" t="s">
        <v>113</v>
      </c>
    </row>
    <row r="697" spans="1:32" ht="15.75" thickBot="1">
      <c r="A697" s="769" t="s">
        <v>588</v>
      </c>
      <c r="B697" s="765">
        <v>0</v>
      </c>
      <c r="C697" s="765">
        <v>0</v>
      </c>
      <c r="D697" s="765">
        <v>0</v>
      </c>
      <c r="E697" s="765">
        <v>0</v>
      </c>
      <c r="F697" s="765">
        <v>0</v>
      </c>
      <c r="G697" s="765">
        <v>0</v>
      </c>
      <c r="H697" s="765">
        <v>0</v>
      </c>
      <c r="I697" s="765">
        <v>0</v>
      </c>
      <c r="J697" s="765">
        <v>0</v>
      </c>
      <c r="K697" s="282">
        <f>SUM(B697:J697)</f>
        <v>0</v>
      </c>
      <c r="L697" s="278"/>
      <c r="M697" s="127"/>
      <c r="N697" s="127"/>
      <c r="O697" s="127"/>
      <c r="P697" s="127"/>
      <c r="Q697" s="127"/>
      <c r="R697" s="127"/>
      <c r="S697" s="127"/>
      <c r="T697" s="127"/>
      <c r="U697" s="127"/>
      <c r="V697" s="127"/>
      <c r="W697" s="127"/>
      <c r="X697" s="127"/>
      <c r="Y697" s="127"/>
      <c r="Z697" s="127"/>
      <c r="AA697" s="127"/>
      <c r="AB697" s="127"/>
      <c r="AC697" s="127"/>
      <c r="AD697" s="127"/>
      <c r="AE697" s="127"/>
      <c r="AF697" s="127"/>
    </row>
    <row r="698" spans="1:32" ht="15.75" customHeight="1" thickBot="1"/>
    <row r="699" spans="1:32" ht="13.5" thickBot="1">
      <c r="A699" s="304" t="s">
        <v>589</v>
      </c>
      <c r="B699" s="325">
        <v>4.2</v>
      </c>
      <c r="C699" s="87" t="s">
        <v>84</v>
      </c>
    </row>
    <row r="700" spans="1:32" ht="13.5" thickBot="1">
      <c r="A700" s="283" t="s">
        <v>382</v>
      </c>
      <c r="B700" s="305" t="s">
        <v>291</v>
      </c>
      <c r="C700" s="305" t="s">
        <v>383</v>
      </c>
      <c r="D700" s="305" t="s">
        <v>385</v>
      </c>
      <c r="E700" s="285" t="s">
        <v>572</v>
      </c>
    </row>
    <row r="701" spans="1:32" ht="15">
      <c r="A701" s="84" t="s">
        <v>590</v>
      </c>
      <c r="B701" s="66">
        <v>0</v>
      </c>
      <c r="C701" s="82">
        <v>0</v>
      </c>
      <c r="D701" s="88">
        <v>0</v>
      </c>
      <c r="E701" s="79">
        <f>D701*C701*B701</f>
        <v>0</v>
      </c>
    </row>
    <row r="702" spans="1:32" ht="15">
      <c r="A702" s="68" t="s">
        <v>591</v>
      </c>
      <c r="B702" s="85">
        <v>0</v>
      </c>
      <c r="C702" s="78">
        <v>0</v>
      </c>
      <c r="D702" s="79">
        <v>0</v>
      </c>
      <c r="E702" s="79">
        <f>D702*C702*B702</f>
        <v>0</v>
      </c>
    </row>
    <row r="703" spans="1:32" ht="15">
      <c r="A703" s="68" t="s">
        <v>592</v>
      </c>
      <c r="B703" s="85">
        <v>0</v>
      </c>
      <c r="C703" s="78">
        <v>0</v>
      </c>
      <c r="D703" s="79">
        <v>0</v>
      </c>
      <c r="E703" s="79">
        <f>D703*C703*B703</f>
        <v>0</v>
      </c>
    </row>
    <row r="704" spans="1:32" ht="15.75" thickBot="1">
      <c r="A704" s="68"/>
      <c r="B704" s="85">
        <v>0</v>
      </c>
      <c r="C704" s="78"/>
      <c r="D704" s="79"/>
      <c r="E704" s="79"/>
    </row>
    <row r="705" spans="1:43" ht="13.5" thickBot="1">
      <c r="A705" s="967" t="s">
        <v>393</v>
      </c>
      <c r="B705" s="959"/>
      <c r="C705" s="959"/>
      <c r="D705" s="960"/>
      <c r="E705" s="111">
        <f>SUM(E701:E704)</f>
        <v>0</v>
      </c>
    </row>
    <row r="708" spans="1:43" s="56" customFormat="1" ht="15.75" thickBot="1">
      <c r="A708" s="59" t="s">
        <v>593</v>
      </c>
      <c r="B708" s="8"/>
      <c r="C708" s="8"/>
      <c r="D708" s="8"/>
      <c r="E708" s="8"/>
      <c r="F708" s="8"/>
      <c r="G708" s="8"/>
      <c r="H708" s="8"/>
      <c r="I708" s="8"/>
      <c r="J708" s="127"/>
      <c r="K708" s="127"/>
      <c r="L708" s="127"/>
      <c r="M708" s="127"/>
      <c r="N708" s="127"/>
      <c r="O708" s="127"/>
      <c r="P708" s="127"/>
      <c r="Q708" s="127"/>
      <c r="R708" s="127"/>
      <c r="S708" s="127"/>
      <c r="T708" s="127"/>
      <c r="U708" s="127"/>
      <c r="V708" s="127"/>
      <c r="W708" s="127"/>
      <c r="X708" s="127"/>
      <c r="Y708" s="127"/>
      <c r="Z708" s="127"/>
      <c r="AA708" s="127"/>
      <c r="AB708" s="127"/>
      <c r="AC708" s="127"/>
      <c r="AD708" s="127"/>
      <c r="AE708" s="127"/>
      <c r="AF708" s="276"/>
      <c r="AG708" s="127"/>
      <c r="AH708" s="127"/>
      <c r="AI708" s="127"/>
      <c r="AJ708" s="127"/>
      <c r="AK708" s="127"/>
      <c r="AL708" s="127"/>
      <c r="AM708" s="127"/>
      <c r="AN708" s="127"/>
      <c r="AO708" s="127"/>
      <c r="AP708" s="127"/>
      <c r="AQ708" s="276"/>
    </row>
    <row r="709" spans="1:43" s="56" customFormat="1" ht="15.75" thickBot="1">
      <c r="A709" s="764" t="s">
        <v>594</v>
      </c>
      <c r="B709" s="767">
        <f>K712</f>
        <v>5.46</v>
      </c>
      <c r="C709" s="282" t="s">
        <v>84</v>
      </c>
      <c r="D709" s="275" t="s">
        <v>595</v>
      </c>
      <c r="E709" s="127"/>
      <c r="F709" s="127"/>
      <c r="G709" s="276"/>
      <c r="H709" s="127"/>
      <c r="I709" s="127"/>
      <c r="J709" s="281"/>
      <c r="K709" s="281"/>
      <c r="L709" s="281"/>
      <c r="M709" s="281"/>
      <c r="N709" s="281"/>
      <c r="O709" s="281"/>
      <c r="P709" s="281"/>
      <c r="Q709" s="281"/>
      <c r="R709" s="281"/>
      <c r="S709" s="281"/>
      <c r="T709" s="281"/>
      <c r="U709" s="281"/>
      <c r="V709" s="281"/>
      <c r="W709" s="281"/>
      <c r="X709" s="281"/>
      <c r="Y709" s="281"/>
      <c r="Z709" s="281"/>
      <c r="AA709" s="281"/>
      <c r="AB709" s="281"/>
      <c r="AC709" s="281"/>
      <c r="AD709" s="281"/>
      <c r="AE709" s="281"/>
      <c r="AF709" s="276"/>
      <c r="AG709" s="127"/>
      <c r="AH709" s="127"/>
      <c r="AI709" s="127"/>
      <c r="AJ709" s="127"/>
      <c r="AK709" s="127"/>
      <c r="AL709" s="127"/>
      <c r="AM709" s="127"/>
      <c r="AN709" s="127"/>
      <c r="AO709" s="127"/>
      <c r="AP709" s="127"/>
      <c r="AQ709" s="276"/>
    </row>
    <row r="710" spans="1:43" s="56" customFormat="1" ht="15">
      <c r="A710" s="8"/>
      <c r="B710" s="8"/>
      <c r="C710" s="8"/>
      <c r="D710" s="8"/>
      <c r="E710" s="8"/>
      <c r="F710" s="8"/>
      <c r="G710" s="8"/>
      <c r="H710" s="8"/>
      <c r="I710" s="8"/>
      <c r="J710" s="127"/>
      <c r="K710" s="127"/>
      <c r="L710" s="127"/>
      <c r="M710" s="127"/>
      <c r="N710" s="127"/>
      <c r="O710" s="127"/>
      <c r="P710" s="127"/>
      <c r="Q710" s="127"/>
      <c r="R710" s="127"/>
      <c r="S710" s="127"/>
      <c r="T710" s="127"/>
      <c r="U710" s="127"/>
      <c r="V710" s="127"/>
      <c r="W710" s="127"/>
      <c r="X710" s="127"/>
      <c r="Y710" s="127"/>
      <c r="Z710" s="127"/>
      <c r="AA710" s="127"/>
      <c r="AB710" s="127"/>
      <c r="AC710" s="127"/>
      <c r="AD710" s="127"/>
      <c r="AE710" s="127"/>
      <c r="AF710" s="276"/>
      <c r="AG710" s="127"/>
      <c r="AH710" s="127"/>
      <c r="AI710" s="127"/>
      <c r="AJ710" s="127"/>
      <c r="AK710" s="127"/>
      <c r="AL710" s="127"/>
      <c r="AM710" s="127"/>
      <c r="AN710" s="127"/>
      <c r="AO710" s="127"/>
      <c r="AP710" s="127"/>
      <c r="AQ710" s="276"/>
    </row>
    <row r="711" spans="1:43" ht="15.75" thickBot="1">
      <c r="A711" s="59" t="s">
        <v>409</v>
      </c>
    </row>
    <row r="712" spans="1:43" ht="15.75" thickBot="1">
      <c r="A712" s="764" t="str">
        <f>A709</f>
        <v>Gypsum ceiling</v>
      </c>
      <c r="B712" s="765">
        <v>2.73</v>
      </c>
      <c r="C712" s="765">
        <v>2.73</v>
      </c>
      <c r="D712" s="765">
        <v>0</v>
      </c>
      <c r="E712" s="765">
        <v>0</v>
      </c>
      <c r="F712" s="765">
        <v>0</v>
      </c>
      <c r="G712" s="91">
        <v>0</v>
      </c>
      <c r="H712" s="765">
        <v>0</v>
      </c>
      <c r="I712" s="765">
        <v>0</v>
      </c>
      <c r="J712" s="765">
        <v>0</v>
      </c>
      <c r="K712" s="282">
        <f>SUM(B712:J712)</f>
        <v>5.46</v>
      </c>
      <c r="L712" s="306"/>
      <c r="Y712" s="102"/>
    </row>
    <row r="714" spans="1:43" ht="13.5" thickBot="1"/>
    <row r="715" spans="1:43" ht="13.5" thickBot="1">
      <c r="A715" s="304" t="s">
        <v>596</v>
      </c>
      <c r="B715" s="86"/>
      <c r="C715" s="87"/>
    </row>
    <row r="716" spans="1:43" ht="13.5" thickBot="1">
      <c r="A716" s="283" t="s">
        <v>382</v>
      </c>
      <c r="B716" s="305" t="s">
        <v>633</v>
      </c>
      <c r="C716" s="305" t="s">
        <v>634</v>
      </c>
      <c r="D716" s="305" t="s">
        <v>635</v>
      </c>
      <c r="E716" s="305" t="s">
        <v>636</v>
      </c>
      <c r="F716" s="308" t="s">
        <v>572</v>
      </c>
      <c r="G716" s="18"/>
      <c r="H716" s="18"/>
      <c r="I716" s="18"/>
      <c r="J716" s="18"/>
    </row>
    <row r="717" spans="1:43" s="56" customFormat="1" ht="15">
      <c r="A717" s="84"/>
      <c r="B717" s="66"/>
      <c r="C717" s="82"/>
      <c r="D717" s="82"/>
      <c r="E717" s="82"/>
      <c r="F717" s="82"/>
      <c r="G717" s="75"/>
      <c r="H717" s="75"/>
      <c r="I717" s="75"/>
      <c r="J717" s="75"/>
      <c r="K717" s="127"/>
      <c r="L717" s="127"/>
      <c r="M717" s="127"/>
      <c r="N717" s="127"/>
      <c r="O717" s="127"/>
      <c r="P717" s="127"/>
      <c r="Q717" s="127"/>
      <c r="R717" s="127"/>
      <c r="S717" s="127"/>
      <c r="T717" s="127"/>
      <c r="U717" s="127"/>
      <c r="V717" s="127"/>
      <c r="W717" s="127"/>
      <c r="X717" s="127"/>
      <c r="Y717" s="127"/>
      <c r="Z717" s="127"/>
      <c r="AA717" s="127"/>
      <c r="AB717" s="127"/>
      <c r="AC717" s="127"/>
      <c r="AD717" s="127"/>
      <c r="AE717" s="127"/>
      <c r="AF717" s="127"/>
      <c r="AG717" s="276"/>
      <c r="AH717" s="127"/>
      <c r="AI717" s="127"/>
      <c r="AJ717" s="127"/>
      <c r="AK717" s="127"/>
      <c r="AL717" s="127"/>
      <c r="AM717" s="127"/>
      <c r="AN717" s="127"/>
      <c r="AO717" s="127"/>
      <c r="AP717" s="127"/>
      <c r="AQ717" s="276"/>
    </row>
    <row r="718" spans="1:43">
      <c r="A718" s="68" t="s">
        <v>599</v>
      </c>
      <c r="B718" s="309">
        <v>1</v>
      </c>
      <c r="C718" s="309">
        <v>1</v>
      </c>
      <c r="D718" s="309">
        <v>0</v>
      </c>
      <c r="E718" s="309">
        <v>0</v>
      </c>
      <c r="F718" s="324">
        <f>SUM(B718:E718)</f>
        <v>2</v>
      </c>
      <c r="G718" s="307"/>
      <c r="H718" s="307"/>
      <c r="I718" s="307"/>
      <c r="J718" s="307"/>
    </row>
    <row r="719" spans="1:43">
      <c r="A719" s="68" t="s">
        <v>601</v>
      </c>
      <c r="B719" s="309">
        <v>1</v>
      </c>
      <c r="C719" s="309">
        <v>1</v>
      </c>
      <c r="D719" s="309">
        <v>0</v>
      </c>
      <c r="E719" s="309">
        <v>0</v>
      </c>
      <c r="F719" s="324">
        <f t="shared" ref="F719:F729" si="53">SUM(B719:E719)</f>
        <v>2</v>
      </c>
      <c r="G719" s="307"/>
      <c r="H719" s="307"/>
      <c r="I719" s="307"/>
      <c r="J719" s="307"/>
    </row>
    <row r="720" spans="1:43" s="56" customFormat="1" ht="15">
      <c r="A720" s="68" t="s">
        <v>602</v>
      </c>
      <c r="B720" s="309">
        <v>0</v>
      </c>
      <c r="C720" s="309">
        <v>0</v>
      </c>
      <c r="D720" s="309">
        <v>0</v>
      </c>
      <c r="E720" s="309">
        <v>0</v>
      </c>
      <c r="F720" s="324">
        <f t="shared" si="53"/>
        <v>0</v>
      </c>
      <c r="G720" s="307"/>
      <c r="H720" s="307"/>
      <c r="I720" s="307"/>
      <c r="J720" s="307"/>
      <c r="K720" s="127"/>
      <c r="L720" s="127"/>
      <c r="M720" s="127"/>
      <c r="N720" s="127"/>
      <c r="O720" s="127"/>
      <c r="P720" s="127"/>
      <c r="Q720" s="127"/>
      <c r="R720" s="127"/>
      <c r="S720" s="127"/>
      <c r="T720" s="127"/>
      <c r="U720" s="127"/>
      <c r="V720" s="127"/>
      <c r="W720" s="127"/>
      <c r="X720" s="127"/>
      <c r="Y720" s="127"/>
      <c r="Z720" s="127"/>
      <c r="AA720" s="127"/>
      <c r="AB720" s="127"/>
      <c r="AC720" s="127"/>
      <c r="AD720" s="127"/>
      <c r="AE720" s="127"/>
      <c r="AF720" s="127"/>
      <c r="AG720" s="276"/>
      <c r="AH720" s="127"/>
      <c r="AI720" s="127"/>
      <c r="AJ720" s="127"/>
      <c r="AK720" s="127"/>
      <c r="AL720" s="127"/>
      <c r="AM720" s="127"/>
      <c r="AN720" s="127"/>
      <c r="AO720" s="127"/>
      <c r="AP720" s="127"/>
      <c r="AQ720" s="276"/>
    </row>
    <row r="721" spans="1:43">
      <c r="A721" s="68" t="s">
        <v>603</v>
      </c>
      <c r="B721" s="309">
        <v>1</v>
      </c>
      <c r="C721" s="309">
        <v>1</v>
      </c>
      <c r="D721" s="309">
        <v>0</v>
      </c>
      <c r="E721" s="309">
        <v>0</v>
      </c>
      <c r="F721" s="324">
        <f t="shared" si="53"/>
        <v>2</v>
      </c>
      <c r="G721" s="307"/>
      <c r="H721" s="307"/>
      <c r="I721" s="307"/>
      <c r="J721" s="307"/>
    </row>
    <row r="722" spans="1:43">
      <c r="A722" s="68" t="s">
        <v>604</v>
      </c>
      <c r="B722" s="309">
        <v>1</v>
      </c>
      <c r="C722" s="309">
        <v>1</v>
      </c>
      <c r="D722" s="309">
        <v>0</v>
      </c>
      <c r="E722" s="309">
        <v>0</v>
      </c>
      <c r="F722" s="324">
        <f t="shared" si="53"/>
        <v>2</v>
      </c>
      <c r="G722" s="307"/>
      <c r="H722" s="307"/>
      <c r="I722" s="307"/>
      <c r="J722" s="307"/>
    </row>
    <row r="723" spans="1:43">
      <c r="A723" s="68" t="s">
        <v>606</v>
      </c>
      <c r="B723" s="309">
        <v>3</v>
      </c>
      <c r="C723" s="309">
        <v>3</v>
      </c>
      <c r="D723" s="309">
        <v>2</v>
      </c>
      <c r="E723" s="309">
        <v>1</v>
      </c>
      <c r="F723" s="324">
        <f t="shared" si="53"/>
        <v>9</v>
      </c>
      <c r="G723" s="307"/>
      <c r="H723" s="307"/>
      <c r="I723" s="307"/>
      <c r="J723" s="307"/>
    </row>
    <row r="724" spans="1:43">
      <c r="A724" s="68" t="s">
        <v>607</v>
      </c>
      <c r="B724" s="309">
        <v>1</v>
      </c>
      <c r="C724" s="309">
        <v>1</v>
      </c>
      <c r="D724" s="309">
        <v>1</v>
      </c>
      <c r="E724" s="309">
        <v>1</v>
      </c>
      <c r="F724" s="324">
        <f t="shared" si="53"/>
        <v>4</v>
      </c>
      <c r="G724" s="307"/>
      <c r="H724" s="307"/>
      <c r="I724" s="307"/>
      <c r="J724" s="307"/>
    </row>
    <row r="725" spans="1:43">
      <c r="A725" s="68" t="s">
        <v>608</v>
      </c>
      <c r="B725" s="309">
        <v>1</v>
      </c>
      <c r="C725" s="309">
        <v>1</v>
      </c>
      <c r="D725" s="309">
        <v>0</v>
      </c>
      <c r="E725" s="309">
        <v>0</v>
      </c>
      <c r="F725" s="324">
        <f t="shared" si="53"/>
        <v>2</v>
      </c>
      <c r="G725" s="307"/>
      <c r="H725" s="307"/>
      <c r="I725" s="307"/>
      <c r="J725" s="307"/>
    </row>
    <row r="726" spans="1:43">
      <c r="A726" s="68" t="s">
        <v>609</v>
      </c>
      <c r="B726" s="309">
        <v>1</v>
      </c>
      <c r="C726" s="309">
        <v>1</v>
      </c>
      <c r="D726" s="309">
        <v>0</v>
      </c>
      <c r="E726" s="309">
        <v>0</v>
      </c>
      <c r="F726" s="324">
        <f t="shared" si="53"/>
        <v>2</v>
      </c>
      <c r="G726" s="307"/>
      <c r="H726" s="307"/>
      <c r="I726" s="307"/>
      <c r="J726" s="307"/>
    </row>
    <row r="727" spans="1:43">
      <c r="A727" s="68" t="s">
        <v>610</v>
      </c>
      <c r="B727" s="309">
        <v>1</v>
      </c>
      <c r="C727" s="309">
        <v>1</v>
      </c>
      <c r="D727" s="309">
        <v>0</v>
      </c>
      <c r="E727" s="309">
        <v>0</v>
      </c>
      <c r="F727" s="324">
        <f t="shared" si="53"/>
        <v>2</v>
      </c>
      <c r="G727" s="307"/>
      <c r="H727" s="307"/>
      <c r="I727" s="307"/>
      <c r="J727" s="307"/>
    </row>
    <row r="728" spans="1:43">
      <c r="A728" s="68" t="s">
        <v>611</v>
      </c>
      <c r="B728" s="309">
        <v>1</v>
      </c>
      <c r="C728" s="309">
        <v>1</v>
      </c>
      <c r="D728" s="309">
        <v>1</v>
      </c>
      <c r="E728" s="309">
        <v>1</v>
      </c>
      <c r="F728" s="324">
        <f t="shared" si="53"/>
        <v>4</v>
      </c>
      <c r="G728" s="307"/>
      <c r="H728" s="307"/>
      <c r="I728" s="307"/>
      <c r="J728" s="307"/>
    </row>
    <row r="729" spans="1:43">
      <c r="A729" s="68" t="s">
        <v>637</v>
      </c>
      <c r="B729" s="309">
        <v>0</v>
      </c>
      <c r="C729" s="309">
        <v>0</v>
      </c>
      <c r="D729" s="309">
        <v>0</v>
      </c>
      <c r="E729" s="309">
        <v>1</v>
      </c>
      <c r="F729" s="324">
        <f t="shared" si="53"/>
        <v>1</v>
      </c>
      <c r="G729" s="307"/>
      <c r="H729" s="307"/>
      <c r="I729" s="307"/>
      <c r="J729" s="307"/>
    </row>
    <row r="730" spans="1:43" ht="13.5" thickBot="1">
      <c r="A730" s="71"/>
      <c r="B730" s="89"/>
      <c r="C730" s="80"/>
      <c r="D730" s="80"/>
      <c r="E730" s="80"/>
      <c r="F730" s="80"/>
      <c r="G730" s="75"/>
      <c r="H730" s="75"/>
      <c r="I730" s="75"/>
      <c r="J730" s="75"/>
    </row>
    <row r="733" spans="1:43" s="56" customFormat="1" ht="15.75" thickBot="1">
      <c r="A733" s="59" t="s">
        <v>612</v>
      </c>
      <c r="B733" s="8"/>
      <c r="C733" s="8"/>
      <c r="D733" s="8"/>
      <c r="E733" s="8"/>
      <c r="F733" s="8"/>
      <c r="G733" s="8"/>
      <c r="H733" s="8"/>
      <c r="I733" s="8"/>
      <c r="J733" s="127"/>
      <c r="K733" s="127"/>
      <c r="L733" s="127"/>
      <c r="M733" s="127"/>
      <c r="N733" s="127"/>
      <c r="O733" s="127"/>
      <c r="P733" s="127"/>
      <c r="Q733" s="127"/>
      <c r="R733" s="127"/>
      <c r="S733" s="127"/>
      <c r="T733" s="127"/>
      <c r="U733" s="127"/>
      <c r="V733" s="127"/>
      <c r="W733" s="127"/>
      <c r="X733" s="127"/>
      <c r="Y733" s="127"/>
      <c r="Z733" s="127"/>
      <c r="AA733" s="127"/>
      <c r="AB733" s="127"/>
      <c r="AC733" s="127"/>
      <c r="AD733" s="127"/>
      <c r="AE733" s="127"/>
      <c r="AF733" s="276"/>
      <c r="AG733" s="127"/>
      <c r="AH733" s="127"/>
      <c r="AI733" s="127"/>
      <c r="AJ733" s="127"/>
      <c r="AK733" s="127"/>
      <c r="AL733" s="127"/>
      <c r="AM733" s="127"/>
      <c r="AN733" s="127"/>
      <c r="AO733" s="127"/>
      <c r="AP733" s="127"/>
      <c r="AQ733" s="276"/>
    </row>
    <row r="734" spans="1:43" s="56" customFormat="1" ht="15.75" thickBot="1">
      <c r="A734" s="769" t="s">
        <v>613</v>
      </c>
      <c r="B734" s="767">
        <f>K737</f>
        <v>0</v>
      </c>
      <c r="C734" s="282" t="s">
        <v>614</v>
      </c>
      <c r="D734" s="275"/>
      <c r="E734" s="127"/>
      <c r="F734" s="127"/>
      <c r="G734" s="276"/>
      <c r="H734" s="127"/>
      <c r="I734" s="127"/>
      <c r="J734" s="281"/>
      <c r="K734" s="281"/>
      <c r="L734" s="281"/>
      <c r="M734" s="281"/>
      <c r="N734" s="281"/>
      <c r="O734" s="281"/>
      <c r="P734" s="281"/>
      <c r="Q734" s="281"/>
      <c r="R734" s="281"/>
      <c r="S734" s="281"/>
      <c r="T734" s="281"/>
      <c r="U734" s="281"/>
      <c r="V734" s="281"/>
      <c r="W734" s="281"/>
      <c r="X734" s="281"/>
      <c r="Y734" s="281"/>
      <c r="Z734" s="281"/>
      <c r="AA734" s="281"/>
      <c r="AB734" s="281"/>
      <c r="AC734" s="281"/>
      <c r="AD734" s="281"/>
      <c r="AE734" s="281"/>
      <c r="AF734" s="276"/>
      <c r="AG734" s="127"/>
      <c r="AH734" s="127"/>
      <c r="AI734" s="127"/>
      <c r="AJ734" s="127"/>
      <c r="AK734" s="127"/>
      <c r="AL734" s="127"/>
      <c r="AM734" s="127"/>
      <c r="AN734" s="127"/>
      <c r="AO734" s="127"/>
      <c r="AP734" s="127"/>
      <c r="AQ734" s="276"/>
    </row>
    <row r="735" spans="1:43" s="56" customFormat="1" ht="15">
      <c r="A735" s="8"/>
      <c r="B735" s="8"/>
      <c r="C735" s="8"/>
      <c r="D735" s="8"/>
      <c r="E735" s="8"/>
      <c r="F735" s="8"/>
      <c r="G735" s="8"/>
      <c r="H735" s="8"/>
      <c r="I735" s="8"/>
      <c r="J735" s="127"/>
      <c r="K735" s="127"/>
      <c r="L735" s="127"/>
      <c r="M735" s="127"/>
      <c r="N735" s="127"/>
      <c r="O735" s="127"/>
      <c r="P735" s="127"/>
      <c r="Q735" s="127"/>
      <c r="R735" s="127"/>
      <c r="S735" s="127"/>
      <c r="T735" s="127"/>
      <c r="U735" s="127"/>
      <c r="V735" s="127"/>
      <c r="W735" s="127"/>
      <c r="X735" s="127"/>
      <c r="Y735" s="127"/>
      <c r="Z735" s="127"/>
      <c r="AA735" s="127"/>
      <c r="AB735" s="127"/>
      <c r="AC735" s="127"/>
      <c r="AD735" s="127"/>
      <c r="AE735" s="127"/>
      <c r="AF735" s="276"/>
      <c r="AG735" s="127"/>
      <c r="AH735" s="127"/>
      <c r="AI735" s="127"/>
      <c r="AJ735" s="127"/>
      <c r="AK735" s="127"/>
      <c r="AL735" s="127"/>
      <c r="AM735" s="127"/>
      <c r="AN735" s="127"/>
      <c r="AO735" s="127"/>
      <c r="AP735" s="127"/>
      <c r="AQ735" s="276"/>
    </row>
    <row r="736" spans="1:43" ht="15.75" thickBot="1">
      <c r="A736" s="59" t="s">
        <v>615</v>
      </c>
    </row>
    <row r="737" spans="1:43" ht="15.75" thickBot="1">
      <c r="A737" s="764" t="str">
        <f>A734</f>
        <v>Hand Rail</v>
      </c>
      <c r="B737" s="765">
        <v>0</v>
      </c>
      <c r="C737" s="765">
        <v>0</v>
      </c>
      <c r="D737" s="765">
        <v>0</v>
      </c>
      <c r="E737" s="765">
        <v>0</v>
      </c>
      <c r="F737" s="765">
        <v>0</v>
      </c>
      <c r="G737" s="91">
        <v>0</v>
      </c>
      <c r="H737" s="765">
        <v>0</v>
      </c>
      <c r="I737" s="765">
        <v>0</v>
      </c>
      <c r="J737" s="765">
        <v>0</v>
      </c>
      <c r="K737" s="282">
        <f>SUM(B737:J737)</f>
        <v>0</v>
      </c>
      <c r="L737" s="306"/>
      <c r="Y737" s="102"/>
    </row>
    <row r="738" spans="1:43" ht="13.5" thickBot="1"/>
    <row r="739" spans="1:43" s="579" customFormat="1" ht="15.75" thickBot="1">
      <c r="A739" s="578" t="s">
        <v>638</v>
      </c>
    </row>
    <row r="741" spans="1:43" ht="15.75" thickBot="1">
      <c r="A741" s="59" t="s">
        <v>526</v>
      </c>
    </row>
    <row r="742" spans="1:43" s="56" customFormat="1" ht="15.75" thickBot="1">
      <c r="A742" s="286" t="s">
        <v>527</v>
      </c>
      <c r="B742" s="287">
        <f>D748-G764</f>
        <v>34.994</v>
      </c>
      <c r="C742" s="282" t="s">
        <v>84</v>
      </c>
      <c r="D742" s="275"/>
      <c r="E742" s="127"/>
      <c r="F742" s="580"/>
      <c r="G742" s="276"/>
      <c r="H742" s="127"/>
      <c r="I742" s="127"/>
      <c r="J742" s="127"/>
      <c r="K742" s="127"/>
      <c r="L742" s="127"/>
      <c r="M742" s="127"/>
      <c r="N742" s="127"/>
      <c r="O742" s="127"/>
      <c r="P742" s="127"/>
      <c r="Q742" s="127"/>
      <c r="R742" s="127"/>
      <c r="S742" s="127"/>
      <c r="T742" s="127"/>
      <c r="U742" s="127"/>
      <c r="V742" s="127"/>
      <c r="W742" s="127"/>
      <c r="X742" s="127"/>
      <c r="Y742" s="127"/>
      <c r="Z742" s="127"/>
      <c r="AA742" s="127"/>
      <c r="AB742" s="127"/>
      <c r="AC742" s="127"/>
      <c r="AD742" s="127"/>
      <c r="AE742" s="127"/>
      <c r="AF742" s="127"/>
      <c r="AG742" s="276"/>
      <c r="AH742" s="127"/>
      <c r="AI742" s="127"/>
      <c r="AJ742" s="127"/>
      <c r="AK742" s="127"/>
      <c r="AL742" s="127"/>
      <c r="AM742" s="127"/>
      <c r="AN742" s="127"/>
      <c r="AO742" s="127"/>
      <c r="AP742" s="127"/>
      <c r="AQ742" s="276"/>
    </row>
    <row r="743" spans="1:43" ht="13.5" thickBot="1"/>
    <row r="744" spans="1:43" ht="13.5" thickBot="1">
      <c r="A744" s="283" t="s">
        <v>382</v>
      </c>
      <c r="B744" s="284" t="s">
        <v>383</v>
      </c>
      <c r="C744" s="284" t="s">
        <v>385</v>
      </c>
      <c r="D744" s="285" t="s">
        <v>408</v>
      </c>
    </row>
    <row r="745" spans="1:43">
      <c r="A745" s="61"/>
      <c r="B745" s="82"/>
      <c r="C745" s="82"/>
      <c r="D745" s="82"/>
    </row>
    <row r="746" spans="1:43" ht="15">
      <c r="A746" s="67" t="s">
        <v>616</v>
      </c>
      <c r="B746" s="78">
        <f>P751</f>
        <v>17.497</v>
      </c>
      <c r="C746" s="78">
        <v>2</v>
      </c>
      <c r="D746" s="79">
        <f>C746*B746</f>
        <v>34.994</v>
      </c>
      <c r="E746" s="75"/>
      <c r="F746" s="75"/>
      <c r="G746" s="75"/>
    </row>
    <row r="747" spans="1:43" ht="15.75" thickBot="1">
      <c r="A747" s="67"/>
      <c r="B747" s="78"/>
      <c r="C747" s="78"/>
      <c r="D747" s="79"/>
    </row>
    <row r="748" spans="1:43" ht="15.75" thickBot="1">
      <c r="A748" s="958" t="s">
        <v>393</v>
      </c>
      <c r="B748" s="959"/>
      <c r="C748" s="960"/>
      <c r="D748" s="77">
        <f>SUM(D745:D747)</f>
        <v>34.994</v>
      </c>
    </row>
    <row r="750" spans="1:43" ht="15.75" thickBot="1">
      <c r="A750" s="59" t="s">
        <v>531</v>
      </c>
    </row>
    <row r="751" spans="1:43" s="56" customFormat="1" ht="17.25" customHeight="1" thickBot="1">
      <c r="A751" s="764" t="str">
        <f>A746</f>
        <v>150mm - 2M wall</v>
      </c>
      <c r="B751" s="765">
        <v>5.8140000000000001</v>
      </c>
      <c r="C751" s="765">
        <v>11.683</v>
      </c>
      <c r="D751" s="765">
        <v>0</v>
      </c>
      <c r="E751" s="765">
        <v>0</v>
      </c>
      <c r="F751" s="765">
        <v>0</v>
      </c>
      <c r="G751" s="765">
        <v>0</v>
      </c>
      <c r="H751" s="765">
        <v>0</v>
      </c>
      <c r="I751" s="765">
        <v>0</v>
      </c>
      <c r="J751" s="765">
        <v>0</v>
      </c>
      <c r="K751" s="765">
        <v>0</v>
      </c>
      <c r="L751" s="765">
        <v>0</v>
      </c>
      <c r="M751" s="765">
        <v>0</v>
      </c>
      <c r="N751" s="765">
        <v>0</v>
      </c>
      <c r="O751" s="765">
        <v>0</v>
      </c>
      <c r="P751" s="282">
        <f>SUM(B751:O751)</f>
        <v>17.497</v>
      </c>
      <c r="Q751" s="127"/>
      <c r="R751" s="127"/>
      <c r="S751" s="127"/>
      <c r="T751" s="127"/>
      <c r="U751" s="127"/>
      <c r="V751" s="127"/>
      <c r="W751" s="127"/>
      <c r="X751" s="127"/>
      <c r="Y751" s="127"/>
      <c r="Z751" s="127"/>
      <c r="AA751" s="127"/>
      <c r="AB751" s="276"/>
      <c r="AC751" s="127"/>
      <c r="AD751" s="127"/>
      <c r="AE751" s="127"/>
      <c r="AF751" s="127"/>
      <c r="AG751" s="276"/>
      <c r="AH751" s="127"/>
      <c r="AI751" s="127"/>
      <c r="AJ751" s="127"/>
      <c r="AK751" s="127"/>
      <c r="AL751" s="127"/>
      <c r="AM751" s="127"/>
      <c r="AN751" s="127"/>
      <c r="AO751" s="127"/>
      <c r="AP751" s="127"/>
      <c r="AQ751" s="276"/>
    </row>
    <row r="753" spans="1:16" ht="15.75" thickBot="1">
      <c r="A753" s="59" t="s">
        <v>447</v>
      </c>
    </row>
    <row r="754" spans="1:16" s="56" customFormat="1" ht="15.75" customHeight="1" thickBot="1">
      <c r="A754" s="310" t="s">
        <v>382</v>
      </c>
      <c r="B754" s="311" t="s">
        <v>82</v>
      </c>
      <c r="C754" s="311" t="s">
        <v>291</v>
      </c>
      <c r="D754" s="311" t="s">
        <v>384</v>
      </c>
      <c r="E754" s="311" t="s">
        <v>385</v>
      </c>
      <c r="F754" s="313" t="s">
        <v>409</v>
      </c>
      <c r="G754" s="314" t="s">
        <v>532</v>
      </c>
      <c r="H754" s="961" t="s">
        <v>533</v>
      </c>
      <c r="I754" s="962"/>
      <c r="J754" s="962"/>
      <c r="K754" s="962"/>
      <c r="L754" s="962"/>
      <c r="M754" s="962"/>
      <c r="N754" s="962"/>
      <c r="O754" s="963"/>
      <c r="P754" s="315" t="s">
        <v>532</v>
      </c>
    </row>
    <row r="755" spans="1:16">
      <c r="A755" s="61"/>
      <c r="B755" s="61"/>
      <c r="C755" s="61"/>
      <c r="D755" s="61"/>
      <c r="E755" s="61"/>
      <c r="F755" s="61"/>
      <c r="G755" s="61"/>
      <c r="N755" s="69"/>
      <c r="O755" s="70"/>
      <c r="P755" s="61"/>
    </row>
    <row r="756" spans="1:16" ht="15">
      <c r="A756" s="62" t="s">
        <v>534</v>
      </c>
      <c r="B756" s="309">
        <v>0</v>
      </c>
      <c r="C756" s="73">
        <v>0</v>
      </c>
      <c r="D756" s="73">
        <v>0</v>
      </c>
      <c r="E756" s="73">
        <v>0</v>
      </c>
      <c r="F756" s="79">
        <f>E756*D756</f>
        <v>0</v>
      </c>
      <c r="G756" s="79">
        <f>F756*C756</f>
        <v>0</v>
      </c>
      <c r="H756" s="102">
        <v>0</v>
      </c>
      <c r="I756" s="102">
        <v>0</v>
      </c>
      <c r="J756" s="102">
        <v>0</v>
      </c>
      <c r="K756" s="75">
        <v>0</v>
      </c>
      <c r="L756" s="75">
        <v>0</v>
      </c>
      <c r="M756" s="75">
        <v>0</v>
      </c>
      <c r="N756" s="75">
        <v>0</v>
      </c>
      <c r="O756" s="766">
        <v>0</v>
      </c>
      <c r="P756" s="79">
        <f>SUM(H756:O756)</f>
        <v>0</v>
      </c>
    </row>
    <row r="757" spans="1:16" ht="15">
      <c r="A757" s="62"/>
      <c r="B757" s="309">
        <v>0</v>
      </c>
      <c r="C757" s="73">
        <v>0</v>
      </c>
      <c r="D757" s="73">
        <v>0</v>
      </c>
      <c r="E757" s="73">
        <v>0</v>
      </c>
      <c r="F757" s="79">
        <f>E757*D757</f>
        <v>0</v>
      </c>
      <c r="G757" s="79">
        <f>F757*C757</f>
        <v>0</v>
      </c>
      <c r="H757" s="102">
        <v>0</v>
      </c>
      <c r="I757" s="102">
        <v>0</v>
      </c>
      <c r="J757" s="102">
        <v>0</v>
      </c>
      <c r="K757" s="75">
        <v>0</v>
      </c>
      <c r="L757" s="75">
        <v>0</v>
      </c>
      <c r="M757" s="75">
        <v>0</v>
      </c>
      <c r="N757" s="75">
        <v>0</v>
      </c>
      <c r="O757" s="766">
        <v>0</v>
      </c>
      <c r="P757" s="79">
        <f>SUM(H757:O757)</f>
        <v>0</v>
      </c>
    </row>
    <row r="758" spans="1:16" ht="15">
      <c r="A758" s="62"/>
      <c r="B758" s="309">
        <v>0</v>
      </c>
      <c r="C758" s="73">
        <v>0</v>
      </c>
      <c r="D758" s="73">
        <v>0</v>
      </c>
      <c r="E758" s="73">
        <v>0</v>
      </c>
      <c r="F758" s="79">
        <f>E758*D758</f>
        <v>0</v>
      </c>
      <c r="G758" s="79">
        <f>F758*C758</f>
        <v>0</v>
      </c>
      <c r="H758" s="102">
        <v>0</v>
      </c>
      <c r="I758" s="102">
        <v>0</v>
      </c>
      <c r="J758" s="102">
        <v>0</v>
      </c>
      <c r="K758" s="75">
        <v>0</v>
      </c>
      <c r="L758" s="75">
        <v>0</v>
      </c>
      <c r="M758" s="75">
        <v>0</v>
      </c>
      <c r="N758" s="75">
        <v>0</v>
      </c>
      <c r="O758" s="766">
        <v>0</v>
      </c>
      <c r="P758" s="79">
        <f>SUM(H758:O758)</f>
        <v>0</v>
      </c>
    </row>
    <row r="759" spans="1:16" ht="15">
      <c r="A759" s="63"/>
      <c r="B759" s="309"/>
      <c r="C759" s="73"/>
      <c r="D759" s="73"/>
      <c r="E759" s="73"/>
      <c r="F759" s="79"/>
      <c r="G759" s="79"/>
      <c r="H759" s="102"/>
      <c r="I759" s="102"/>
      <c r="J759" s="102"/>
      <c r="O759" s="217"/>
      <c r="P759" s="79"/>
    </row>
    <row r="760" spans="1:16" ht="15">
      <c r="A760" s="62" t="s">
        <v>538</v>
      </c>
      <c r="B760" s="309">
        <v>0</v>
      </c>
      <c r="C760" s="73">
        <v>0</v>
      </c>
      <c r="D760" s="73">
        <v>0</v>
      </c>
      <c r="E760" s="73">
        <v>0</v>
      </c>
      <c r="F760" s="79">
        <f t="shared" ref="F760:F762" si="54">E760*D760</f>
        <v>0</v>
      </c>
      <c r="G760" s="79">
        <f t="shared" ref="G760:G762" si="55">F760*C760</f>
        <v>0</v>
      </c>
      <c r="H760" s="102">
        <v>0</v>
      </c>
      <c r="I760" s="75">
        <v>0</v>
      </c>
      <c r="J760" s="75">
        <v>0</v>
      </c>
      <c r="K760" s="75">
        <v>0</v>
      </c>
      <c r="L760" s="75">
        <v>0</v>
      </c>
      <c r="M760" s="75">
        <v>0</v>
      </c>
      <c r="N760" s="75">
        <v>0</v>
      </c>
      <c r="O760" s="766">
        <v>0</v>
      </c>
      <c r="P760" s="79">
        <f t="shared" ref="P760:P762" si="56">SUM(H760:O760)</f>
        <v>0</v>
      </c>
    </row>
    <row r="761" spans="1:16" ht="15">
      <c r="A761" s="598"/>
      <c r="B761" s="309">
        <v>0</v>
      </c>
      <c r="C761" s="73">
        <v>0</v>
      </c>
      <c r="D761" s="73">
        <v>0</v>
      </c>
      <c r="E761" s="73">
        <v>0</v>
      </c>
      <c r="F761" s="79">
        <f t="shared" si="54"/>
        <v>0</v>
      </c>
      <c r="G761" s="79">
        <f t="shared" si="55"/>
        <v>0</v>
      </c>
      <c r="H761" s="102">
        <v>0</v>
      </c>
      <c r="I761" s="75">
        <v>0</v>
      </c>
      <c r="J761" s="75">
        <v>0</v>
      </c>
      <c r="K761" s="75">
        <v>0</v>
      </c>
      <c r="L761" s="75">
        <v>0</v>
      </c>
      <c r="M761" s="75">
        <v>0</v>
      </c>
      <c r="N761" s="75">
        <v>0</v>
      </c>
      <c r="O761" s="766">
        <v>0</v>
      </c>
      <c r="P761" s="79">
        <f t="shared" si="56"/>
        <v>0</v>
      </c>
    </row>
    <row r="762" spans="1:16" ht="15">
      <c r="A762" s="598"/>
      <c r="B762" s="309">
        <v>0</v>
      </c>
      <c r="C762" s="73">
        <v>0</v>
      </c>
      <c r="D762" s="73">
        <v>0</v>
      </c>
      <c r="E762" s="73">
        <v>0</v>
      </c>
      <c r="F762" s="79">
        <f t="shared" si="54"/>
        <v>0</v>
      </c>
      <c r="G762" s="79">
        <f t="shared" si="55"/>
        <v>0</v>
      </c>
      <c r="H762" s="102">
        <v>0</v>
      </c>
      <c r="I762" s="75">
        <v>0</v>
      </c>
      <c r="J762" s="75">
        <v>0</v>
      </c>
      <c r="K762" s="75">
        <v>0</v>
      </c>
      <c r="L762" s="75">
        <v>0</v>
      </c>
      <c r="M762" s="75">
        <v>0</v>
      </c>
      <c r="N762" s="75">
        <v>0</v>
      </c>
      <c r="O762" s="766">
        <v>0</v>
      </c>
      <c r="P762" s="79">
        <f t="shared" si="56"/>
        <v>0</v>
      </c>
    </row>
    <row r="763" spans="1:16" ht="15.75" thickBot="1">
      <c r="B763" s="309"/>
      <c r="C763" s="73"/>
      <c r="D763" s="73"/>
      <c r="E763" s="73"/>
      <c r="F763" s="79"/>
      <c r="G763" s="79"/>
      <c r="N763" s="280"/>
      <c r="O763" s="316"/>
      <c r="P763" s="79"/>
    </row>
    <row r="764" spans="1:16" ht="15.75" thickBot="1">
      <c r="A764" s="65"/>
      <c r="B764" s="955" t="s">
        <v>545</v>
      </c>
      <c r="C764" s="956"/>
      <c r="D764" s="956"/>
      <c r="E764" s="956"/>
      <c r="F764" s="957"/>
      <c r="G764" s="77">
        <f>SUM(G755:G760)</f>
        <v>0</v>
      </c>
      <c r="H764" s="293"/>
      <c r="I764" s="208"/>
      <c r="J764" s="208"/>
      <c r="K764" s="312"/>
      <c r="L764" s="312"/>
      <c r="M764" s="312"/>
      <c r="N764" s="312"/>
      <c r="O764" s="317"/>
      <c r="P764" s="77"/>
    </row>
    <row r="765" spans="1:16" ht="15">
      <c r="H765" s="102"/>
      <c r="I765" s="102"/>
      <c r="J765" s="102"/>
    </row>
    <row r="766" spans="1:16" ht="15.75" thickBot="1">
      <c r="A766" s="59" t="s">
        <v>546</v>
      </c>
    </row>
    <row r="767" spans="1:16" s="56" customFormat="1" ht="15.75" thickBot="1">
      <c r="A767" s="286" t="s">
        <v>547</v>
      </c>
      <c r="B767" s="287">
        <f>D774-H787+J787</f>
        <v>122.12844999999999</v>
      </c>
      <c r="C767" s="282" t="s">
        <v>84</v>
      </c>
      <c r="D767" s="275"/>
      <c r="E767" s="127"/>
      <c r="F767" s="127"/>
      <c r="G767" s="276"/>
      <c r="H767" s="127"/>
      <c r="I767" s="127"/>
      <c r="J767" s="277"/>
    </row>
    <row r="768" spans="1:16" ht="13.5" thickBot="1"/>
    <row r="769" spans="1:43" ht="15.75" thickBot="1">
      <c r="A769" s="283" t="s">
        <v>382</v>
      </c>
      <c r="B769" s="284" t="s">
        <v>383</v>
      </c>
      <c r="C769" s="284" t="s">
        <v>385</v>
      </c>
      <c r="D769" s="285" t="s">
        <v>408</v>
      </c>
      <c r="J769" s="102"/>
    </row>
    <row r="770" spans="1:43" ht="15">
      <c r="A770" s="61"/>
      <c r="B770" s="82"/>
      <c r="C770" s="82"/>
      <c r="D770" s="82"/>
      <c r="J770" s="102"/>
    </row>
    <row r="771" spans="1:43" ht="15">
      <c r="A771" s="67" t="s">
        <v>621</v>
      </c>
      <c r="B771" s="78">
        <f>M777</f>
        <v>17.497</v>
      </c>
      <c r="C771" s="78">
        <v>4.1500000000000004</v>
      </c>
      <c r="D771" s="79">
        <f>C771*B771</f>
        <v>72.612549999999999</v>
      </c>
      <c r="E771" s="75" t="s">
        <v>549</v>
      </c>
      <c r="J771" s="102"/>
    </row>
    <row r="772" spans="1:43" ht="15">
      <c r="A772" s="67" t="s">
        <v>639</v>
      </c>
      <c r="B772" s="78">
        <f>M778</f>
        <v>19.417999999999999</v>
      </c>
      <c r="C772" s="78">
        <v>2.5499999999999998</v>
      </c>
      <c r="D772" s="79">
        <f>C772*B772</f>
        <v>49.515899999999995</v>
      </c>
      <c r="J772" s="102"/>
    </row>
    <row r="773" spans="1:43" s="56" customFormat="1" ht="15.75" thickBot="1">
      <c r="A773" s="67"/>
      <c r="B773" s="78"/>
      <c r="C773" s="78"/>
      <c r="D773" s="79"/>
      <c r="E773" s="8"/>
      <c r="F773" s="8"/>
      <c r="G773" s="8"/>
      <c r="H773" s="8"/>
      <c r="I773" s="8"/>
      <c r="J773" s="127"/>
      <c r="K773" s="127"/>
      <c r="L773" s="127"/>
      <c r="M773" s="127"/>
      <c r="N773" s="127"/>
      <c r="O773" s="127"/>
      <c r="P773" s="127"/>
      <c r="Q773" s="127"/>
      <c r="R773" s="127"/>
      <c r="S773" s="127"/>
      <c r="T773" s="127"/>
      <c r="U773" s="127"/>
      <c r="V773" s="127"/>
      <c r="W773" s="127"/>
      <c r="X773" s="127"/>
      <c r="Y773" s="127"/>
      <c r="Z773" s="127"/>
      <c r="AA773" s="127"/>
      <c r="AB773" s="127"/>
      <c r="AC773" s="127"/>
      <c r="AD773" s="127"/>
      <c r="AE773" s="127"/>
      <c r="AF773" s="127"/>
      <c r="AG773" s="276"/>
      <c r="AH773" s="127"/>
      <c r="AI773" s="127"/>
      <c r="AJ773" s="127"/>
      <c r="AK773" s="127"/>
      <c r="AL773" s="127"/>
      <c r="AM773" s="127"/>
      <c r="AN773" s="127"/>
      <c r="AO773" s="127"/>
      <c r="AP773" s="127"/>
      <c r="AQ773" s="276"/>
    </row>
    <row r="774" spans="1:43" ht="15.75" thickBot="1">
      <c r="A774" s="958" t="s">
        <v>393</v>
      </c>
      <c r="B774" s="959"/>
      <c r="C774" s="960"/>
      <c r="D774" s="77">
        <f>SUM(D770:D773)</f>
        <v>122.12844999999999</v>
      </c>
    </row>
    <row r="776" spans="1:43" ht="15.75" thickBot="1">
      <c r="A776" s="59" t="s">
        <v>551</v>
      </c>
    </row>
    <row r="777" spans="1:43" ht="15.75" thickBot="1">
      <c r="A777" s="764" t="str">
        <f>A771</f>
        <v xml:space="preserve">Outer wal - 2.0m </v>
      </c>
      <c r="B777" s="765">
        <v>11.683</v>
      </c>
      <c r="C777" s="765">
        <v>5.8140000000000001</v>
      </c>
      <c r="D777" s="765">
        <v>0</v>
      </c>
      <c r="E777" s="765">
        <v>0</v>
      </c>
      <c r="F777" s="765">
        <v>0</v>
      </c>
      <c r="G777" s="765">
        <v>0</v>
      </c>
      <c r="H777" s="765">
        <v>0</v>
      </c>
      <c r="I777" s="765">
        <v>0</v>
      </c>
      <c r="J777" s="765">
        <v>0</v>
      </c>
      <c r="K777" s="765">
        <v>0</v>
      </c>
      <c r="L777" s="765">
        <v>0</v>
      </c>
      <c r="M777" s="282">
        <f>SUM(B777:L777)</f>
        <v>17.497</v>
      </c>
    </row>
    <row r="778" spans="1:43" ht="15.75" thickBot="1">
      <c r="A778" s="764" t="str">
        <f>A772</f>
        <v>Outer wall -1.2m</v>
      </c>
      <c r="B778" s="765">
        <v>11.964</v>
      </c>
      <c r="C778" s="765">
        <v>7.4539999999999997</v>
      </c>
      <c r="D778" s="765">
        <v>0</v>
      </c>
      <c r="E778" s="765">
        <v>0</v>
      </c>
      <c r="F778" s="765">
        <v>0</v>
      </c>
      <c r="G778" s="765">
        <v>0</v>
      </c>
      <c r="H778" s="765">
        <v>0</v>
      </c>
      <c r="I778" s="765">
        <v>0</v>
      </c>
      <c r="J778" s="765">
        <v>0</v>
      </c>
      <c r="K778" s="765">
        <v>0</v>
      </c>
      <c r="L778" s="765">
        <v>0</v>
      </c>
      <c r="M778" s="282">
        <f>SUM(B778:L778)</f>
        <v>19.417999999999999</v>
      </c>
    </row>
    <row r="780" spans="1:43" ht="15.75" thickBot="1">
      <c r="A780" s="59" t="s">
        <v>552</v>
      </c>
    </row>
    <row r="781" spans="1:43" ht="15.75" customHeight="1" thickBot="1">
      <c r="A781" s="288" t="s">
        <v>382</v>
      </c>
      <c r="B781" s="289" t="s">
        <v>82</v>
      </c>
      <c r="C781" s="289" t="s">
        <v>291</v>
      </c>
      <c r="D781" s="289" t="s">
        <v>383</v>
      </c>
      <c r="E781" s="289" t="s">
        <v>384</v>
      </c>
      <c r="F781" s="289" t="s">
        <v>409</v>
      </c>
      <c r="G781" s="290" t="s">
        <v>532</v>
      </c>
      <c r="H781" s="291" t="s">
        <v>553</v>
      </c>
      <c r="I781" s="291" t="s">
        <v>554</v>
      </c>
      <c r="J781" s="292" t="s">
        <v>555</v>
      </c>
    </row>
    <row r="782" spans="1:43">
      <c r="A782" s="61"/>
      <c r="B782" s="61"/>
      <c r="C782" s="61"/>
      <c r="D782" s="61"/>
      <c r="E782" s="61"/>
      <c r="F782" s="294"/>
      <c r="G782" s="294"/>
      <c r="H782" s="61"/>
      <c r="I782" s="61"/>
      <c r="J782" s="61"/>
    </row>
    <row r="783" spans="1:43" ht="15">
      <c r="A783" s="62" t="s">
        <v>534</v>
      </c>
      <c r="B783" s="72">
        <f t="shared" ref="B783:E785" si="57">B756</f>
        <v>0</v>
      </c>
      <c r="C783" s="72">
        <f t="shared" si="57"/>
        <v>0</v>
      </c>
      <c r="D783" s="72">
        <f t="shared" si="57"/>
        <v>0</v>
      </c>
      <c r="E783" s="72">
        <f t="shared" si="57"/>
        <v>0</v>
      </c>
      <c r="F783" s="93">
        <f>E783*D783</f>
        <v>0</v>
      </c>
      <c r="G783" s="93">
        <f>F783*C783</f>
        <v>0</v>
      </c>
      <c r="H783" s="78">
        <f>G783</f>
        <v>0</v>
      </c>
      <c r="I783" s="78">
        <f>G783</f>
        <v>0</v>
      </c>
      <c r="J783" s="78">
        <f>(D783+E783+D783+E783)*C783*0.15</f>
        <v>0</v>
      </c>
    </row>
    <row r="784" spans="1:43" ht="15">
      <c r="A784" s="62"/>
      <c r="B784" s="72">
        <f t="shared" si="57"/>
        <v>0</v>
      </c>
      <c r="C784" s="72">
        <f t="shared" si="57"/>
        <v>0</v>
      </c>
      <c r="D784" s="72">
        <f t="shared" si="57"/>
        <v>0</v>
      </c>
      <c r="E784" s="72">
        <f t="shared" si="57"/>
        <v>0</v>
      </c>
      <c r="F784" s="93">
        <f>E784*D784</f>
        <v>0</v>
      </c>
      <c r="G784" s="93">
        <f>F784*C784</f>
        <v>0</v>
      </c>
      <c r="H784" s="78">
        <f>G784</f>
        <v>0</v>
      </c>
      <c r="I784" s="78">
        <f>G784</f>
        <v>0</v>
      </c>
      <c r="J784" s="78">
        <f>(D784+E784+D784+E784)*C784*0.15</f>
        <v>0</v>
      </c>
    </row>
    <row r="785" spans="1:12" ht="15">
      <c r="A785" s="62"/>
      <c r="B785" s="72">
        <f t="shared" si="57"/>
        <v>0</v>
      </c>
      <c r="C785" s="72">
        <f t="shared" si="57"/>
        <v>0</v>
      </c>
      <c r="D785" s="72">
        <f t="shared" si="57"/>
        <v>0</v>
      </c>
      <c r="E785" s="72">
        <f t="shared" si="57"/>
        <v>0</v>
      </c>
      <c r="F785" s="93">
        <f>E785*D785</f>
        <v>0</v>
      </c>
      <c r="G785" s="93">
        <f>F785*C785</f>
        <v>0</v>
      </c>
      <c r="H785" s="78">
        <f>G785</f>
        <v>0</v>
      </c>
      <c r="I785" s="78">
        <f>G785</f>
        <v>0</v>
      </c>
      <c r="J785" s="78">
        <f>(D785+E785+D785+E785)*C785*0.15</f>
        <v>0</v>
      </c>
    </row>
    <row r="786" spans="1:12" ht="15.75" thickBot="1">
      <c r="A786" s="62"/>
      <c r="B786" s="76"/>
      <c r="C786" s="76"/>
      <c r="D786" s="76"/>
      <c r="E786" s="76"/>
      <c r="F786" s="605"/>
      <c r="G786" s="605"/>
      <c r="H786" s="80"/>
      <c r="I786" s="80"/>
      <c r="J786" s="80"/>
    </row>
    <row r="787" spans="1:12" ht="15.75" thickBot="1">
      <c r="A787" s="65"/>
      <c r="B787" s="955" t="s">
        <v>545</v>
      </c>
      <c r="C787" s="956"/>
      <c r="D787" s="956"/>
      <c r="E787" s="956"/>
      <c r="F787" s="957"/>
      <c r="G787" s="293">
        <f>SUM(G782:G783)</f>
        <v>0</v>
      </c>
      <c r="H787" s="293">
        <f>SUM(H782:H783)</f>
        <v>0</v>
      </c>
      <c r="I787" s="293">
        <f>SUM(I782:I783)</f>
        <v>0</v>
      </c>
      <c r="J787" s="77">
        <f>SUM(J782:J783)</f>
        <v>0</v>
      </c>
      <c r="K787" s="75"/>
      <c r="L787" s="75"/>
    </row>
    <row r="788" spans="1:12" ht="15">
      <c r="A788" s="63"/>
      <c r="B788" s="72"/>
      <c r="C788" s="73"/>
      <c r="D788" s="73"/>
      <c r="E788" s="73"/>
      <c r="F788" s="93"/>
      <c r="G788" s="296"/>
      <c r="H788" s="78"/>
      <c r="I788" s="78"/>
      <c r="J788" s="78"/>
    </row>
    <row r="789" spans="1:12" s="56" customFormat="1" ht="15">
      <c r="A789" s="62" t="s">
        <v>538</v>
      </c>
      <c r="B789" s="72">
        <f t="shared" ref="B789:E791" si="58">B760</f>
        <v>0</v>
      </c>
      <c r="C789" s="72">
        <f t="shared" si="58"/>
        <v>0</v>
      </c>
      <c r="D789" s="72">
        <f t="shared" si="58"/>
        <v>0</v>
      </c>
      <c r="E789" s="72">
        <f t="shared" si="58"/>
        <v>0</v>
      </c>
      <c r="F789" s="93">
        <f t="shared" ref="F789:F791" si="59">E789*D789</f>
        <v>0</v>
      </c>
      <c r="G789" s="93">
        <f t="shared" ref="G789:G791" si="60">F789*C789</f>
        <v>0</v>
      </c>
      <c r="H789" s="78">
        <f>G789</f>
        <v>0</v>
      </c>
      <c r="I789" s="78">
        <f>G789</f>
        <v>0</v>
      </c>
      <c r="J789" s="78">
        <f>(D789+E789+D789+E789)*C789*0.15</f>
        <v>0</v>
      </c>
      <c r="K789" s="277"/>
      <c r="L789" s="277"/>
    </row>
    <row r="790" spans="1:12" s="56" customFormat="1" ht="15">
      <c r="A790" s="62"/>
      <c r="B790" s="72">
        <f t="shared" si="58"/>
        <v>0</v>
      </c>
      <c r="C790" s="72">
        <f t="shared" si="58"/>
        <v>0</v>
      </c>
      <c r="D790" s="72">
        <f t="shared" si="58"/>
        <v>0</v>
      </c>
      <c r="E790" s="72">
        <f t="shared" si="58"/>
        <v>0</v>
      </c>
      <c r="F790" s="93">
        <f t="shared" si="59"/>
        <v>0</v>
      </c>
      <c r="G790" s="93">
        <f t="shared" si="60"/>
        <v>0</v>
      </c>
      <c r="H790" s="78">
        <f t="shared" ref="H790:H791" si="61">G790</f>
        <v>0</v>
      </c>
      <c r="I790" s="78">
        <f t="shared" ref="I790:I791" si="62">G790</f>
        <v>0</v>
      </c>
      <c r="J790" s="78">
        <f t="shared" ref="J790:J791" si="63">(D790+E790+D790+E790)*C790*0.15</f>
        <v>0</v>
      </c>
      <c r="K790" s="277"/>
      <c r="L790" s="277"/>
    </row>
    <row r="791" spans="1:12" s="56" customFormat="1" ht="15">
      <c r="A791" s="62"/>
      <c r="B791" s="72">
        <f t="shared" si="58"/>
        <v>0</v>
      </c>
      <c r="C791" s="72">
        <f t="shared" si="58"/>
        <v>0</v>
      </c>
      <c r="D791" s="72">
        <f t="shared" si="58"/>
        <v>0</v>
      </c>
      <c r="E791" s="72">
        <f t="shared" si="58"/>
        <v>0</v>
      </c>
      <c r="F791" s="93">
        <f t="shared" si="59"/>
        <v>0</v>
      </c>
      <c r="G791" s="93">
        <f t="shared" si="60"/>
        <v>0</v>
      </c>
      <c r="H791" s="78">
        <f t="shared" si="61"/>
        <v>0</v>
      </c>
      <c r="I791" s="78">
        <f t="shared" si="62"/>
        <v>0</v>
      </c>
      <c r="J791" s="78">
        <f t="shared" si="63"/>
        <v>0</v>
      </c>
      <c r="K791" s="277"/>
      <c r="L791" s="277"/>
    </row>
    <row r="792" spans="1:12" ht="15.75" thickBot="1">
      <c r="A792" s="63"/>
      <c r="B792" s="72"/>
      <c r="C792" s="73"/>
      <c r="D792" s="73"/>
      <c r="E792" s="73"/>
      <c r="F792" s="93"/>
      <c r="G792" s="296"/>
      <c r="H792" s="78"/>
      <c r="I792" s="78"/>
      <c r="J792" s="78"/>
      <c r="K792" s="75"/>
      <c r="L792" s="75"/>
    </row>
    <row r="793" spans="1:12" ht="15.75" thickBot="1">
      <c r="A793" s="65"/>
      <c r="B793" s="955" t="s">
        <v>545</v>
      </c>
      <c r="C793" s="956"/>
      <c r="D793" s="956"/>
      <c r="E793" s="956"/>
      <c r="F793" s="957"/>
      <c r="G793" s="293">
        <f>SUM(G788:G792)</f>
        <v>0</v>
      </c>
      <c r="H793" s="293">
        <f>SUM(H788:H792)</f>
        <v>0</v>
      </c>
      <c r="I793" s="293">
        <f>SUM(I788:I792)</f>
        <v>0</v>
      </c>
      <c r="J793" s="77">
        <f>SUM(J788:J792)</f>
        <v>0</v>
      </c>
      <c r="K793" s="75"/>
      <c r="L793" s="75"/>
    </row>
    <row r="794" spans="1:12">
      <c r="J794" s="75"/>
      <c r="K794" s="75"/>
      <c r="L794" s="75"/>
    </row>
    <row r="795" spans="1:12" ht="15.75" thickBot="1">
      <c r="A795" s="59" t="s">
        <v>556</v>
      </c>
      <c r="J795" s="75"/>
      <c r="K795" s="75"/>
      <c r="L795" s="75"/>
    </row>
    <row r="796" spans="1:12" ht="15.75" thickBot="1">
      <c r="A796" s="286" t="s">
        <v>557</v>
      </c>
      <c r="B796" s="297">
        <f>D802-I787-H793-I793+J793</f>
        <v>0</v>
      </c>
      <c r="C796" s="282" t="s">
        <v>84</v>
      </c>
      <c r="D796" s="127"/>
      <c r="E796" s="127"/>
      <c r="F796" s="127"/>
      <c r="G796" s="276"/>
      <c r="H796" s="127"/>
      <c r="I796" s="127"/>
      <c r="J796" s="75"/>
      <c r="K796" s="75"/>
      <c r="L796" s="75"/>
    </row>
    <row r="797" spans="1:12" ht="13.5" thickBot="1">
      <c r="J797" s="75"/>
      <c r="K797" s="75"/>
      <c r="L797" s="75"/>
    </row>
    <row r="798" spans="1:12" ht="13.5" thickBot="1">
      <c r="A798" s="283" t="s">
        <v>382</v>
      </c>
      <c r="B798" s="284" t="s">
        <v>383</v>
      </c>
      <c r="C798" s="284" t="s">
        <v>385</v>
      </c>
      <c r="D798" s="285" t="s">
        <v>408</v>
      </c>
      <c r="J798" s="75"/>
      <c r="K798" s="75"/>
      <c r="L798" s="75"/>
    </row>
    <row r="799" spans="1:12">
      <c r="A799" s="61"/>
      <c r="B799" s="82"/>
      <c r="C799" s="82"/>
      <c r="D799" s="82"/>
      <c r="J799" s="75"/>
      <c r="K799" s="75"/>
    </row>
    <row r="800" spans="1:12" ht="15">
      <c r="A800" s="67" t="s">
        <v>558</v>
      </c>
      <c r="B800" s="78">
        <f>P805</f>
        <v>0</v>
      </c>
      <c r="C800" s="78">
        <v>2.85</v>
      </c>
      <c r="D800" s="79">
        <f>C800*B800</f>
        <v>0</v>
      </c>
      <c r="J800" s="102"/>
    </row>
    <row r="801" spans="1:43" ht="13.5" thickBot="1">
      <c r="A801" s="65"/>
      <c r="B801" s="80"/>
      <c r="C801" s="80"/>
      <c r="D801" s="80"/>
    </row>
    <row r="802" spans="1:43" s="56" customFormat="1" ht="15.75" thickBot="1">
      <c r="A802" s="958" t="s">
        <v>393</v>
      </c>
      <c r="B802" s="959"/>
      <c r="C802" s="960"/>
      <c r="D802" s="77">
        <f>SUM(D798:D801)</f>
        <v>0</v>
      </c>
      <c r="E802" s="8"/>
      <c r="F802" s="8"/>
      <c r="G802" s="8"/>
      <c r="H802" s="8"/>
      <c r="I802" s="8"/>
      <c r="J802" s="127"/>
      <c r="K802" s="127"/>
      <c r="L802" s="127"/>
      <c r="M802" s="127"/>
      <c r="N802" s="127"/>
      <c r="O802" s="127"/>
      <c r="P802" s="127"/>
      <c r="Q802" s="127"/>
      <c r="R802" s="127"/>
      <c r="S802" s="127"/>
      <c r="T802" s="127"/>
      <c r="U802" s="127"/>
      <c r="V802" s="127"/>
      <c r="W802" s="127"/>
      <c r="X802" s="127"/>
      <c r="Y802" s="127"/>
      <c r="Z802" s="127"/>
      <c r="AA802" s="127"/>
      <c r="AB802" s="127"/>
      <c r="AC802" s="127"/>
      <c r="AD802" s="127"/>
      <c r="AE802" s="127"/>
      <c r="AF802" s="127"/>
      <c r="AG802" s="276"/>
      <c r="AH802" s="127"/>
      <c r="AI802" s="127"/>
      <c r="AJ802" s="127"/>
      <c r="AK802" s="127"/>
      <c r="AL802" s="127"/>
      <c r="AM802" s="127"/>
      <c r="AN802" s="127"/>
      <c r="AO802" s="127"/>
      <c r="AP802" s="127"/>
      <c r="AQ802" s="276"/>
    </row>
    <row r="804" spans="1:43" ht="15.75" thickBot="1">
      <c r="A804" s="59" t="s">
        <v>551</v>
      </c>
    </row>
    <row r="805" spans="1:43" ht="15.75" thickBot="1">
      <c r="A805" s="764" t="str">
        <f>A800</f>
        <v>Internal Wall</v>
      </c>
      <c r="B805" s="765">
        <v>0</v>
      </c>
      <c r="C805" s="765">
        <v>0</v>
      </c>
      <c r="D805" s="765">
        <v>0</v>
      </c>
      <c r="E805" s="765">
        <v>0</v>
      </c>
      <c r="F805" s="765">
        <v>0</v>
      </c>
      <c r="G805" s="765">
        <v>0</v>
      </c>
      <c r="H805" s="765">
        <v>0</v>
      </c>
      <c r="I805" s="765">
        <v>0</v>
      </c>
      <c r="J805" s="765">
        <v>0</v>
      </c>
      <c r="K805" s="765">
        <v>0</v>
      </c>
      <c r="L805" s="765">
        <v>0</v>
      </c>
      <c r="M805" s="765">
        <v>0</v>
      </c>
      <c r="N805" s="765">
        <v>0</v>
      </c>
      <c r="O805" s="765">
        <v>0</v>
      </c>
      <c r="P805" s="77">
        <f>SUM(B805:O805)</f>
        <v>0</v>
      </c>
    </row>
    <row r="806" spans="1:43" ht="15">
      <c r="J806" s="102"/>
    </row>
    <row r="807" spans="1:43" ht="15.75" thickBot="1">
      <c r="A807" s="59" t="s">
        <v>559</v>
      </c>
      <c r="J807" s="102"/>
      <c r="K807" s="75"/>
    </row>
    <row r="808" spans="1:43" ht="15.75" thickBot="1">
      <c r="A808" s="764" t="s">
        <v>560</v>
      </c>
      <c r="B808" s="767">
        <f>Y812</f>
        <v>65.27</v>
      </c>
      <c r="C808" s="599" t="s">
        <v>84</v>
      </c>
      <c r="D808" s="275"/>
      <c r="E808" s="127"/>
      <c r="F808" s="127"/>
      <c r="G808" s="276"/>
      <c r="H808" s="127"/>
      <c r="I808" s="127"/>
      <c r="J808" s="102"/>
    </row>
    <row r="809" spans="1:43" ht="15.75" thickBot="1">
      <c r="A809" s="764" t="s">
        <v>561</v>
      </c>
      <c r="B809" s="767">
        <f>Y813</f>
        <v>0</v>
      </c>
      <c r="C809" s="599" t="s">
        <v>84</v>
      </c>
      <c r="D809" s="275"/>
      <c r="E809" s="127"/>
      <c r="F809" s="127"/>
      <c r="G809" s="276"/>
      <c r="H809" s="127"/>
      <c r="I809" s="127"/>
      <c r="J809" s="102"/>
    </row>
    <row r="810" spans="1:43" ht="15">
      <c r="J810" s="102"/>
    </row>
    <row r="811" spans="1:43" ht="15.75" thickBot="1">
      <c r="A811" s="59" t="s">
        <v>562</v>
      </c>
      <c r="J811" s="102"/>
    </row>
    <row r="812" spans="1:43" ht="15.75" thickBot="1">
      <c r="A812" s="764" t="s">
        <v>562</v>
      </c>
      <c r="B812" s="765">
        <v>65.27</v>
      </c>
      <c r="C812" s="765">
        <v>0</v>
      </c>
      <c r="D812" s="765">
        <v>0</v>
      </c>
      <c r="E812" s="765">
        <v>0</v>
      </c>
      <c r="F812" s="765">
        <v>0</v>
      </c>
      <c r="G812" s="91">
        <v>0</v>
      </c>
      <c r="H812" s="765">
        <v>0</v>
      </c>
      <c r="I812" s="765">
        <v>0</v>
      </c>
      <c r="J812" s="91">
        <v>0</v>
      </c>
      <c r="K812" s="765">
        <v>0</v>
      </c>
      <c r="L812" s="765">
        <v>0</v>
      </c>
      <c r="M812" s="91">
        <v>0</v>
      </c>
      <c r="N812" s="765">
        <v>0</v>
      </c>
      <c r="O812" s="765">
        <v>0</v>
      </c>
      <c r="P812" s="91">
        <v>0</v>
      </c>
      <c r="Q812" s="765">
        <v>0</v>
      </c>
      <c r="R812" s="765">
        <v>0</v>
      </c>
      <c r="S812" s="91">
        <v>0</v>
      </c>
      <c r="T812" s="765">
        <v>0</v>
      </c>
      <c r="U812" s="765">
        <v>0</v>
      </c>
      <c r="V812" s="91">
        <v>0</v>
      </c>
      <c r="W812" s="765">
        <v>0</v>
      </c>
      <c r="X812" s="765">
        <v>0</v>
      </c>
      <c r="Y812" s="77">
        <f>SUM(B812:X812)</f>
        <v>65.27</v>
      </c>
    </row>
    <row r="813" spans="1:43" ht="15.75" thickBot="1">
      <c r="A813" s="764" t="str">
        <f>A809</f>
        <v>Stair screeding</v>
      </c>
      <c r="B813" s="765">
        <v>0</v>
      </c>
      <c r="C813" s="765">
        <v>0</v>
      </c>
      <c r="D813" s="765">
        <v>0</v>
      </c>
      <c r="E813" s="765">
        <v>0</v>
      </c>
      <c r="F813" s="765">
        <v>0</v>
      </c>
      <c r="G813" s="91">
        <v>0</v>
      </c>
      <c r="H813" s="765">
        <v>0</v>
      </c>
      <c r="I813" s="765">
        <v>0</v>
      </c>
      <c r="J813" s="91">
        <v>0</v>
      </c>
      <c r="K813" s="765">
        <v>0</v>
      </c>
      <c r="L813" s="765">
        <v>0</v>
      </c>
      <c r="M813" s="91">
        <v>0</v>
      </c>
      <c r="N813" s="765">
        <v>0</v>
      </c>
      <c r="O813" s="765">
        <v>0</v>
      </c>
      <c r="P813" s="91">
        <v>0</v>
      </c>
      <c r="Q813" s="765">
        <v>0</v>
      </c>
      <c r="R813" s="765">
        <v>0</v>
      </c>
      <c r="S813" s="91">
        <v>0</v>
      </c>
      <c r="T813" s="765">
        <v>0</v>
      </c>
      <c r="U813" s="765">
        <v>0</v>
      </c>
      <c r="V813" s="91">
        <v>0</v>
      </c>
      <c r="W813" s="765">
        <v>0</v>
      </c>
      <c r="X813" s="765">
        <v>0</v>
      </c>
      <c r="Y813" s="77">
        <f>SUM(B813:X813)</f>
        <v>0</v>
      </c>
    </row>
    <row r="815" spans="1:43" ht="15.75" thickBot="1">
      <c r="A815" s="59" t="s">
        <v>563</v>
      </c>
    </row>
    <row r="816" spans="1:43" ht="15.75" thickBot="1">
      <c r="A816" s="326" t="s">
        <v>564</v>
      </c>
      <c r="B816" s="297">
        <f>B767</f>
        <v>122.12844999999999</v>
      </c>
      <c r="C816" s="599" t="s">
        <v>84</v>
      </c>
    </row>
    <row r="817" spans="1:43" ht="15.75" thickBot="1">
      <c r="A817" s="326" t="s">
        <v>565</v>
      </c>
      <c r="B817" s="297">
        <f>B796</f>
        <v>0</v>
      </c>
      <c r="C817" s="599" t="s">
        <v>84</v>
      </c>
    </row>
    <row r="818" spans="1:43" ht="15.75" thickBot="1">
      <c r="A818" s="326" t="s">
        <v>566</v>
      </c>
      <c r="B818" s="297">
        <f>Y821</f>
        <v>0</v>
      </c>
      <c r="C818" s="599" t="s">
        <v>84</v>
      </c>
    </row>
    <row r="820" spans="1:43" ht="15.75" thickBot="1">
      <c r="A820" s="59" t="s">
        <v>566</v>
      </c>
      <c r="J820" s="102"/>
    </row>
    <row r="821" spans="1:43" ht="15.75" thickBot="1">
      <c r="A821" s="764" t="str">
        <f>A818</f>
        <v>Ceiling Paiting</v>
      </c>
      <c r="B821" s="765">
        <v>0</v>
      </c>
      <c r="C821" s="765">
        <v>0</v>
      </c>
      <c r="D821" s="765">
        <v>0</v>
      </c>
      <c r="E821" s="765">
        <v>0</v>
      </c>
      <c r="F821" s="765">
        <v>0</v>
      </c>
      <c r="G821" s="91">
        <v>0</v>
      </c>
      <c r="H821" s="765">
        <v>0</v>
      </c>
      <c r="I821" s="765">
        <v>0</v>
      </c>
      <c r="J821" s="91">
        <v>0</v>
      </c>
      <c r="K821" s="765">
        <v>0</v>
      </c>
      <c r="L821" s="765">
        <v>0</v>
      </c>
      <c r="M821" s="91">
        <v>0</v>
      </c>
      <c r="N821" s="765">
        <v>0</v>
      </c>
      <c r="O821" s="765">
        <v>0</v>
      </c>
      <c r="P821" s="91">
        <v>0</v>
      </c>
      <c r="Q821" s="765">
        <v>0</v>
      </c>
      <c r="R821" s="765">
        <v>0</v>
      </c>
      <c r="S821" s="91">
        <v>0</v>
      </c>
      <c r="T821" s="765">
        <v>0</v>
      </c>
      <c r="U821" s="765">
        <v>0</v>
      </c>
      <c r="V821" s="91">
        <v>0</v>
      </c>
      <c r="W821" s="765">
        <v>0</v>
      </c>
      <c r="X821" s="765">
        <v>0</v>
      </c>
      <c r="Y821" s="77">
        <f>SUM(B821:X821)</f>
        <v>0</v>
      </c>
    </row>
    <row r="823" spans="1:43" ht="15.75" thickBot="1">
      <c r="A823" s="59" t="s">
        <v>567</v>
      </c>
    </row>
    <row r="824" spans="1:43" ht="13.5" thickBot="1">
      <c r="A824" s="298" t="s">
        <v>568</v>
      </c>
      <c r="B824" s="90">
        <f>F829</f>
        <v>0</v>
      </c>
      <c r="C824" s="600" t="s">
        <v>84</v>
      </c>
    </row>
    <row r="825" spans="1:43" s="56" customFormat="1" ht="15.75" thickBot="1">
      <c r="A825" s="299" t="s">
        <v>382</v>
      </c>
      <c r="B825" s="300" t="s">
        <v>569</v>
      </c>
      <c r="C825" s="300" t="s">
        <v>409</v>
      </c>
      <c r="D825" s="300" t="s">
        <v>570</v>
      </c>
      <c r="E825" s="300" t="s">
        <v>571</v>
      </c>
      <c r="F825" s="301" t="s">
        <v>572</v>
      </c>
      <c r="G825" s="10"/>
      <c r="H825" s="8"/>
      <c r="I825" s="8"/>
      <c r="J825" s="127"/>
      <c r="K825" s="127"/>
      <c r="L825" s="127"/>
      <c r="M825" s="127"/>
      <c r="N825" s="127"/>
      <c r="O825" s="127"/>
      <c r="P825" s="127"/>
      <c r="Q825" s="127"/>
      <c r="R825" s="127"/>
      <c r="S825" s="127"/>
      <c r="T825" s="127"/>
      <c r="U825" s="127"/>
      <c r="V825" s="127"/>
      <c r="W825" s="127"/>
      <c r="X825" s="127"/>
      <c r="Y825" s="127"/>
      <c r="Z825" s="127"/>
      <c r="AA825" s="127"/>
      <c r="AB825" s="127"/>
      <c r="AC825" s="127"/>
      <c r="AD825" s="127"/>
      <c r="AE825" s="127"/>
      <c r="AF825" s="127"/>
      <c r="AG825" s="276"/>
      <c r="AH825" s="127"/>
      <c r="AI825" s="127"/>
      <c r="AJ825" s="127"/>
      <c r="AK825" s="127"/>
      <c r="AL825" s="127"/>
      <c r="AM825" s="127"/>
      <c r="AN825" s="127"/>
      <c r="AO825" s="127"/>
      <c r="AP825" s="127"/>
      <c r="AQ825" s="276"/>
    </row>
    <row r="826" spans="1:43">
      <c r="A826" s="61"/>
      <c r="B826" s="61"/>
      <c r="C826" s="61"/>
      <c r="D826" s="61"/>
      <c r="E826" s="61"/>
      <c r="F826" s="61"/>
    </row>
    <row r="827" spans="1:43" ht="15">
      <c r="A827" s="68" t="s">
        <v>573</v>
      </c>
      <c r="B827" s="64" t="s">
        <v>574</v>
      </c>
      <c r="C827" s="78">
        <f>Q832</f>
        <v>0</v>
      </c>
      <c r="D827" s="78">
        <f>Q833</f>
        <v>0</v>
      </c>
      <c r="E827" s="78">
        <f>0.1*D827</f>
        <v>0</v>
      </c>
      <c r="F827" s="79">
        <f>E827+C827</f>
        <v>0</v>
      </c>
      <c r="G827" s="60"/>
    </row>
    <row r="828" spans="1:43" s="56" customFormat="1" ht="15.75" thickBot="1">
      <c r="A828" s="68"/>
      <c r="B828" s="64"/>
      <c r="C828" s="78"/>
      <c r="D828" s="78"/>
      <c r="E828" s="78"/>
      <c r="F828" s="79"/>
      <c r="G828" s="60"/>
      <c r="H828" s="8"/>
      <c r="I828" s="8"/>
      <c r="J828" s="127"/>
      <c r="K828" s="127"/>
      <c r="L828" s="127"/>
      <c r="M828" s="127"/>
      <c r="N828" s="127"/>
      <c r="O828" s="127"/>
      <c r="P828" s="127"/>
      <c r="Q828" s="127"/>
      <c r="R828" s="127"/>
      <c r="S828" s="127"/>
      <c r="T828" s="127"/>
      <c r="U828" s="127"/>
      <c r="V828" s="127"/>
      <c r="W828" s="127"/>
      <c r="X828" s="127"/>
      <c r="Y828" s="127"/>
      <c r="Z828" s="127"/>
      <c r="AA828" s="127"/>
      <c r="AB828" s="127"/>
      <c r="AC828" s="127"/>
      <c r="AD828" s="127"/>
      <c r="AE828" s="127"/>
      <c r="AF828" s="127"/>
      <c r="AG828" s="276"/>
      <c r="AH828" s="127"/>
      <c r="AI828" s="127"/>
      <c r="AJ828" s="127"/>
      <c r="AK828" s="127"/>
      <c r="AL828" s="127"/>
      <c r="AM828" s="127"/>
      <c r="AN828" s="127"/>
      <c r="AO828" s="127"/>
      <c r="AP828" s="127"/>
      <c r="AQ828" s="276"/>
    </row>
    <row r="829" spans="1:43" ht="13.5" thickBot="1">
      <c r="A829" s="964" t="s">
        <v>393</v>
      </c>
      <c r="B829" s="965"/>
      <c r="C829" s="965"/>
      <c r="D829" s="965"/>
      <c r="E829" s="966"/>
      <c r="F829" s="111">
        <f>SUM(F827:F828)</f>
        <v>0</v>
      </c>
    </row>
    <row r="831" spans="1:43" ht="15.75" thickBot="1">
      <c r="A831" s="59" t="s">
        <v>575</v>
      </c>
    </row>
    <row r="832" spans="1:43" ht="15">
      <c r="A832" s="764" t="s">
        <v>576</v>
      </c>
      <c r="B832" s="765">
        <v>0</v>
      </c>
      <c r="C832" s="765">
        <v>0</v>
      </c>
      <c r="D832" s="765">
        <v>0</v>
      </c>
      <c r="E832" s="765">
        <v>0</v>
      </c>
      <c r="F832" s="765">
        <v>0</v>
      </c>
      <c r="G832" s="765">
        <v>0</v>
      </c>
      <c r="H832" s="765">
        <v>0</v>
      </c>
      <c r="I832" s="765">
        <v>0</v>
      </c>
      <c r="J832" s="765">
        <v>0</v>
      </c>
      <c r="K832" s="765">
        <v>0</v>
      </c>
      <c r="L832" s="765">
        <v>0</v>
      </c>
      <c r="M832" s="765">
        <v>0</v>
      </c>
      <c r="N832" s="765">
        <v>0</v>
      </c>
      <c r="O832" s="765">
        <v>0</v>
      </c>
      <c r="P832" s="765">
        <v>0</v>
      </c>
      <c r="Q832" s="302">
        <f>SUM(B832:P832)</f>
        <v>0</v>
      </c>
    </row>
    <row r="833" spans="1:43" ht="15.75" thickBot="1">
      <c r="A833" s="764" t="s">
        <v>570</v>
      </c>
      <c r="B833" s="765">
        <v>0</v>
      </c>
      <c r="C833" s="765">
        <v>0</v>
      </c>
      <c r="D833" s="765">
        <v>0</v>
      </c>
      <c r="E833" s="765">
        <v>0</v>
      </c>
      <c r="F833" s="765">
        <v>0</v>
      </c>
      <c r="G833" s="765">
        <v>0</v>
      </c>
      <c r="H833" s="765">
        <v>0</v>
      </c>
      <c r="I833" s="765">
        <v>0</v>
      </c>
      <c r="J833" s="765">
        <v>0</v>
      </c>
      <c r="K833" s="765">
        <v>0</v>
      </c>
      <c r="L833" s="765">
        <v>0</v>
      </c>
      <c r="M833" s="765">
        <v>0</v>
      </c>
      <c r="N833" s="765">
        <v>0</v>
      </c>
      <c r="O833" s="765">
        <v>0</v>
      </c>
      <c r="P833" s="765">
        <v>0</v>
      </c>
      <c r="Q833" s="303">
        <f>SUM(B833:P833)</f>
        <v>0</v>
      </c>
    </row>
    <row r="834" spans="1:43" ht="13.5" thickBot="1"/>
    <row r="835" spans="1:43" ht="13.5" thickBot="1">
      <c r="A835" s="298" t="s">
        <v>632</v>
      </c>
      <c r="B835" s="90">
        <f>F840</f>
        <v>65.27</v>
      </c>
      <c r="C835" s="600" t="s">
        <v>84</v>
      </c>
    </row>
    <row r="836" spans="1:43" s="56" customFormat="1" ht="15.75" thickBot="1">
      <c r="A836" s="299" t="s">
        <v>382</v>
      </c>
      <c r="B836" s="300" t="s">
        <v>569</v>
      </c>
      <c r="C836" s="300" t="s">
        <v>409</v>
      </c>
      <c r="D836" s="300" t="s">
        <v>570</v>
      </c>
      <c r="E836" s="300" t="s">
        <v>571</v>
      </c>
      <c r="F836" s="301" t="s">
        <v>572</v>
      </c>
      <c r="G836" s="10"/>
      <c r="H836" s="8"/>
      <c r="I836" s="8"/>
      <c r="J836" s="127"/>
      <c r="K836" s="127"/>
      <c r="L836" s="127"/>
      <c r="M836" s="127"/>
      <c r="N836" s="127"/>
      <c r="O836" s="127"/>
      <c r="P836" s="127"/>
      <c r="Q836" s="127"/>
      <c r="R836" s="127"/>
      <c r="S836" s="127"/>
      <c r="T836" s="127"/>
      <c r="U836" s="127"/>
      <c r="V836" s="127"/>
      <c r="W836" s="127"/>
      <c r="X836" s="127"/>
      <c r="Y836" s="127"/>
      <c r="Z836" s="127"/>
      <c r="AA836" s="127"/>
      <c r="AB836" s="127"/>
      <c r="AC836" s="127"/>
      <c r="AD836" s="127"/>
      <c r="AE836" s="127"/>
      <c r="AF836" s="127"/>
      <c r="AG836" s="276"/>
      <c r="AH836" s="127"/>
      <c r="AI836" s="127"/>
      <c r="AJ836" s="127"/>
      <c r="AK836" s="127"/>
      <c r="AL836" s="127"/>
      <c r="AM836" s="127"/>
      <c r="AN836" s="127"/>
      <c r="AO836" s="127"/>
      <c r="AP836" s="127"/>
      <c r="AQ836" s="276"/>
    </row>
    <row r="837" spans="1:43">
      <c r="A837" s="61"/>
      <c r="B837" s="61"/>
      <c r="C837" s="61"/>
      <c r="D837" s="61"/>
      <c r="E837" s="61"/>
      <c r="F837" s="61"/>
    </row>
    <row r="838" spans="1:43" ht="15">
      <c r="A838" s="68" t="s">
        <v>573</v>
      </c>
      <c r="B838" s="64" t="s">
        <v>574</v>
      </c>
      <c r="C838" s="78">
        <f>Q843</f>
        <v>65.27</v>
      </c>
      <c r="D838" s="78">
        <f>Q844</f>
        <v>0</v>
      </c>
      <c r="E838" s="78">
        <f>0.1*D838</f>
        <v>0</v>
      </c>
      <c r="F838" s="79">
        <f>E838+C838</f>
        <v>65.27</v>
      </c>
      <c r="G838" s="60"/>
    </row>
    <row r="839" spans="1:43" s="56" customFormat="1" ht="15.75" thickBot="1">
      <c r="A839" s="68"/>
      <c r="B839" s="64"/>
      <c r="C839" s="78"/>
      <c r="D839" s="78"/>
      <c r="E839" s="78"/>
      <c r="F839" s="79"/>
      <c r="G839" s="60"/>
      <c r="H839" s="8"/>
      <c r="I839" s="8"/>
      <c r="J839" s="127"/>
      <c r="K839" s="127"/>
      <c r="L839" s="127"/>
      <c r="M839" s="127"/>
      <c r="N839" s="127"/>
      <c r="O839" s="127"/>
      <c r="P839" s="127"/>
      <c r="Q839" s="127"/>
      <c r="R839" s="127"/>
      <c r="S839" s="127"/>
      <c r="T839" s="127"/>
      <c r="U839" s="127"/>
      <c r="V839" s="127"/>
      <c r="W839" s="127"/>
      <c r="X839" s="127"/>
      <c r="Y839" s="127"/>
      <c r="Z839" s="127"/>
      <c r="AA839" s="127"/>
      <c r="AB839" s="127"/>
      <c r="AC839" s="127"/>
      <c r="AD839" s="127"/>
      <c r="AE839" s="127"/>
      <c r="AF839" s="127"/>
      <c r="AG839" s="276"/>
      <c r="AH839" s="127"/>
      <c r="AI839" s="127"/>
      <c r="AJ839" s="127"/>
      <c r="AK839" s="127"/>
      <c r="AL839" s="127"/>
      <c r="AM839" s="127"/>
      <c r="AN839" s="127"/>
      <c r="AO839" s="127"/>
      <c r="AP839" s="127"/>
      <c r="AQ839" s="276"/>
    </row>
    <row r="840" spans="1:43" ht="13.5" thickBot="1">
      <c r="A840" s="964" t="s">
        <v>393</v>
      </c>
      <c r="B840" s="965"/>
      <c r="C840" s="965"/>
      <c r="D840" s="965"/>
      <c r="E840" s="966"/>
      <c r="F840" s="111">
        <f>SUM(F838:F839)</f>
        <v>65.27</v>
      </c>
    </row>
    <row r="842" spans="1:43" ht="15.75" thickBot="1">
      <c r="A842" s="59" t="s">
        <v>575</v>
      </c>
    </row>
    <row r="843" spans="1:43" ht="15">
      <c r="A843" s="764" t="s">
        <v>576</v>
      </c>
      <c r="B843" s="765">
        <v>65.27</v>
      </c>
      <c r="C843" s="765">
        <v>0</v>
      </c>
      <c r="D843" s="765">
        <v>0</v>
      </c>
      <c r="E843" s="765">
        <v>0</v>
      </c>
      <c r="F843" s="765">
        <v>0</v>
      </c>
      <c r="G843" s="765">
        <v>0</v>
      </c>
      <c r="H843" s="765">
        <v>0</v>
      </c>
      <c r="I843" s="765">
        <v>0</v>
      </c>
      <c r="J843" s="765">
        <v>0</v>
      </c>
      <c r="K843" s="765">
        <v>0</v>
      </c>
      <c r="L843" s="765">
        <v>0</v>
      </c>
      <c r="M843" s="765">
        <v>0</v>
      </c>
      <c r="N843" s="765">
        <v>0</v>
      </c>
      <c r="O843" s="765">
        <v>0</v>
      </c>
      <c r="P843" s="765">
        <v>0</v>
      </c>
      <c r="Q843" s="302">
        <f>SUM(B843:P843)</f>
        <v>65.27</v>
      </c>
    </row>
    <row r="844" spans="1:43" ht="15.75" thickBot="1">
      <c r="A844" s="764" t="s">
        <v>570</v>
      </c>
      <c r="B844" s="765">
        <v>0</v>
      </c>
      <c r="C844" s="765">
        <v>0</v>
      </c>
      <c r="D844" s="765">
        <v>0</v>
      </c>
      <c r="E844" s="765">
        <v>0</v>
      </c>
      <c r="F844" s="765">
        <v>0</v>
      </c>
      <c r="G844" s="765">
        <v>0</v>
      </c>
      <c r="H844" s="765">
        <v>0</v>
      </c>
      <c r="I844" s="765">
        <v>0</v>
      </c>
      <c r="J844" s="765">
        <v>0</v>
      </c>
      <c r="K844" s="765">
        <v>0</v>
      </c>
      <c r="L844" s="765">
        <v>0</v>
      </c>
      <c r="M844" s="765">
        <v>0</v>
      </c>
      <c r="N844" s="765">
        <v>0</v>
      </c>
      <c r="O844" s="765">
        <v>0</v>
      </c>
      <c r="P844" s="765">
        <v>0</v>
      </c>
      <c r="Q844" s="303">
        <f>SUM(B844:P844)</f>
        <v>0</v>
      </c>
    </row>
    <row r="845" spans="1:43" ht="13.5" thickBot="1"/>
    <row r="846" spans="1:43" ht="13.5" thickBot="1">
      <c r="A846" s="298" t="s">
        <v>577</v>
      </c>
      <c r="B846" s="90">
        <f>D851</f>
        <v>0</v>
      </c>
      <c r="C846" s="83" t="s">
        <v>84</v>
      </c>
    </row>
    <row r="847" spans="1:43" ht="13.5" thickBot="1">
      <c r="A847" s="283" t="s">
        <v>382</v>
      </c>
      <c r="B847" s="284" t="s">
        <v>569</v>
      </c>
      <c r="C847" s="284" t="s">
        <v>409</v>
      </c>
      <c r="D847" s="285" t="s">
        <v>572</v>
      </c>
      <c r="E847" s="10"/>
    </row>
    <row r="848" spans="1:43" ht="15">
      <c r="A848" s="84" t="s">
        <v>578</v>
      </c>
      <c r="B848" s="66" t="s">
        <v>579</v>
      </c>
      <c r="C848" s="82">
        <f>K854</f>
        <v>0</v>
      </c>
      <c r="D848" s="88">
        <f>C848</f>
        <v>0</v>
      </c>
      <c r="E848" s="60"/>
    </row>
    <row r="849" spans="1:43" ht="15">
      <c r="A849" s="68"/>
      <c r="B849" s="85"/>
      <c r="C849" s="78"/>
      <c r="D849" s="79"/>
      <c r="E849" s="60"/>
    </row>
    <row r="850" spans="1:43" ht="15.75" thickBot="1">
      <c r="A850" s="68"/>
      <c r="B850" s="85"/>
      <c r="C850" s="78"/>
      <c r="D850" s="79"/>
      <c r="E850" s="60"/>
    </row>
    <row r="851" spans="1:43" ht="13.5" thickBot="1">
      <c r="A851" s="967" t="s">
        <v>393</v>
      </c>
      <c r="B851" s="959"/>
      <c r="C851" s="960"/>
      <c r="D851" s="111">
        <f>SUM(D848:D850)</f>
        <v>0</v>
      </c>
    </row>
    <row r="852" spans="1:43" s="56" customFormat="1" ht="15">
      <c r="A852" s="8"/>
      <c r="B852" s="8"/>
      <c r="C852" s="8"/>
      <c r="D852" s="8"/>
      <c r="E852" s="8"/>
      <c r="F852" s="8"/>
      <c r="G852" s="8"/>
      <c r="H852" s="8"/>
      <c r="I852" s="8"/>
      <c r="AH852" s="127"/>
      <c r="AI852" s="127"/>
      <c r="AJ852" s="127"/>
      <c r="AK852" s="127"/>
      <c r="AL852" s="127"/>
      <c r="AM852" s="127"/>
      <c r="AN852" s="127"/>
      <c r="AO852" s="127"/>
      <c r="AP852" s="127"/>
      <c r="AQ852" s="276"/>
    </row>
    <row r="853" spans="1:43" ht="15.75" thickBot="1">
      <c r="A853" s="59" t="s">
        <v>575</v>
      </c>
    </row>
    <row r="854" spans="1:43" ht="15.75" thickBot="1">
      <c r="A854" s="764" t="s">
        <v>576</v>
      </c>
      <c r="B854" s="765">
        <v>0</v>
      </c>
      <c r="C854" s="765">
        <v>0</v>
      </c>
      <c r="D854" s="765">
        <v>0</v>
      </c>
      <c r="E854" s="765">
        <v>0</v>
      </c>
      <c r="F854" s="765">
        <v>0</v>
      </c>
      <c r="G854" s="765">
        <v>0</v>
      </c>
      <c r="H854" s="765">
        <v>0</v>
      </c>
      <c r="I854" s="765">
        <v>0</v>
      </c>
      <c r="J854" s="765">
        <v>0</v>
      </c>
      <c r="K854" s="282">
        <f>SUM(B854:J854)</f>
        <v>0</v>
      </c>
      <c r="L854" s="278"/>
      <c r="M854" s="127"/>
      <c r="N854" s="127"/>
      <c r="O854" s="127"/>
      <c r="P854" s="127"/>
      <c r="Q854" s="127"/>
      <c r="R854" s="127"/>
      <c r="S854" s="127"/>
      <c r="T854" s="127"/>
      <c r="U854" s="127"/>
      <c r="V854" s="127"/>
      <c r="W854" s="127"/>
      <c r="X854" s="127"/>
      <c r="Y854" s="127"/>
      <c r="Z854" s="127"/>
      <c r="AA854" s="127"/>
      <c r="AB854" s="127"/>
      <c r="AC854" s="127"/>
      <c r="AD854" s="127"/>
      <c r="AE854" s="127"/>
      <c r="AF854" s="127"/>
    </row>
    <row r="856" spans="1:43" ht="13.5" thickBot="1"/>
    <row r="857" spans="1:43" ht="13.5" thickBot="1">
      <c r="A857" s="304" t="s">
        <v>580</v>
      </c>
      <c r="B857" s="86">
        <f>E863</f>
        <v>0</v>
      </c>
      <c r="C857" s="87" t="s">
        <v>84</v>
      </c>
    </row>
    <row r="858" spans="1:43" ht="13.5" thickBot="1">
      <c r="A858" s="283" t="s">
        <v>382</v>
      </c>
      <c r="B858" s="284" t="s">
        <v>569</v>
      </c>
      <c r="C858" s="305" t="s">
        <v>383</v>
      </c>
      <c r="D858" s="305" t="s">
        <v>385</v>
      </c>
      <c r="E858" s="285" t="s">
        <v>572</v>
      </c>
    </row>
    <row r="859" spans="1:43" ht="15">
      <c r="A859" s="84" t="s">
        <v>581</v>
      </c>
      <c r="B859" s="66" t="s">
        <v>582</v>
      </c>
      <c r="C859" s="82">
        <f>K866</f>
        <v>0</v>
      </c>
      <c r="D859" s="88">
        <v>2.5</v>
      </c>
      <c r="E859" s="88">
        <f>D859*C859</f>
        <v>0</v>
      </c>
    </row>
    <row r="860" spans="1:43" ht="15">
      <c r="A860" s="68"/>
      <c r="B860" s="85"/>
      <c r="C860" s="78"/>
      <c r="D860" s="79"/>
      <c r="E860" s="79"/>
    </row>
    <row r="861" spans="1:43" s="56" customFormat="1" ht="15">
      <c r="A861" s="279" t="s">
        <v>583</v>
      </c>
      <c r="B861" s="85"/>
      <c r="C861" s="78">
        <v>0</v>
      </c>
      <c r="D861" s="79">
        <v>0</v>
      </c>
      <c r="E861" s="79">
        <f>K867</f>
        <v>0</v>
      </c>
      <c r="F861" s="8"/>
      <c r="G861" s="8"/>
      <c r="H861" s="8"/>
      <c r="I861" s="8"/>
      <c r="AH861" s="127"/>
      <c r="AI861" s="127"/>
      <c r="AJ861" s="127"/>
      <c r="AK861" s="127"/>
      <c r="AL861" s="127"/>
      <c r="AM861" s="127"/>
      <c r="AN861" s="127"/>
      <c r="AO861" s="127"/>
      <c r="AP861" s="127"/>
      <c r="AQ861" s="276"/>
    </row>
    <row r="862" spans="1:43" ht="15.75" thickBot="1">
      <c r="A862" s="68"/>
      <c r="B862" s="85"/>
      <c r="C862" s="78"/>
      <c r="D862" s="79"/>
      <c r="E862" s="79"/>
    </row>
    <row r="863" spans="1:43" ht="13.5" thickBot="1">
      <c r="A863" s="967" t="s">
        <v>393</v>
      </c>
      <c r="B863" s="959"/>
      <c r="C863" s="959"/>
      <c r="D863" s="960"/>
      <c r="E863" s="111">
        <f>E859-E861</f>
        <v>0</v>
      </c>
    </row>
    <row r="865" spans="1:32" ht="15.75" thickBot="1">
      <c r="A865" s="59" t="s">
        <v>584</v>
      </c>
    </row>
    <row r="866" spans="1:32" ht="15.75" thickBot="1">
      <c r="A866" s="764" t="s">
        <v>383</v>
      </c>
      <c r="B866" s="765">
        <v>0</v>
      </c>
      <c r="C866" s="765">
        <v>0</v>
      </c>
      <c r="D866" s="765">
        <v>0</v>
      </c>
      <c r="E866" s="765">
        <v>0</v>
      </c>
      <c r="F866" s="765">
        <v>0</v>
      </c>
      <c r="G866" s="765">
        <v>0</v>
      </c>
      <c r="H866" s="765">
        <v>0</v>
      </c>
      <c r="I866" s="765">
        <v>0</v>
      </c>
      <c r="J866" s="765">
        <v>0</v>
      </c>
      <c r="K866" s="282">
        <f>SUM(B866:J866)</f>
        <v>0</v>
      </c>
      <c r="L866" s="278"/>
      <c r="M866" s="127"/>
      <c r="N866" s="127"/>
      <c r="O866" s="127"/>
      <c r="P866" s="127"/>
      <c r="Q866" s="127"/>
      <c r="R866" s="127"/>
      <c r="S866" s="127"/>
      <c r="T866" s="127"/>
      <c r="U866" s="127"/>
      <c r="V866" s="127"/>
      <c r="W866" s="127"/>
      <c r="X866" s="127"/>
      <c r="Y866" s="127"/>
      <c r="Z866" s="127"/>
      <c r="AA866" s="127"/>
      <c r="AB866" s="127"/>
      <c r="AC866" s="127"/>
      <c r="AD866" s="127"/>
      <c r="AE866" s="127"/>
      <c r="AF866" s="127"/>
    </row>
    <row r="867" spans="1:32" ht="15.75" thickBot="1">
      <c r="A867" s="764" t="s">
        <v>447</v>
      </c>
      <c r="B867" s="768">
        <v>0</v>
      </c>
      <c r="C867" s="768">
        <v>0</v>
      </c>
      <c r="D867" s="768">
        <v>0</v>
      </c>
      <c r="E867" s="768">
        <v>0</v>
      </c>
      <c r="F867" s="768">
        <v>0</v>
      </c>
      <c r="G867" s="768">
        <v>0</v>
      </c>
      <c r="H867" s="768">
        <v>0</v>
      </c>
      <c r="I867" s="768">
        <v>0</v>
      </c>
      <c r="J867" s="765">
        <v>0</v>
      </c>
      <c r="K867" s="282">
        <f>SUM(B867:J867)</f>
        <v>0</v>
      </c>
      <c r="L867" s="278"/>
      <c r="M867" s="127"/>
      <c r="N867" s="127"/>
      <c r="O867" s="127"/>
      <c r="P867" s="127"/>
      <c r="Q867" s="127"/>
      <c r="R867" s="127"/>
      <c r="S867" s="127"/>
      <c r="T867" s="127"/>
      <c r="U867" s="127"/>
      <c r="V867" s="127"/>
      <c r="W867" s="127"/>
      <c r="X867" s="127"/>
      <c r="Y867" s="127"/>
      <c r="Z867" s="127"/>
      <c r="AA867" s="127"/>
      <c r="AB867" s="127"/>
      <c r="AC867" s="127"/>
      <c r="AD867" s="127"/>
      <c r="AE867" s="127"/>
      <c r="AF867" s="127"/>
    </row>
    <row r="869" spans="1:32" ht="13.5" thickBot="1"/>
    <row r="870" spans="1:32" ht="13.5" thickBot="1">
      <c r="A870" s="304" t="s">
        <v>585</v>
      </c>
      <c r="B870" s="325">
        <f>E876</f>
        <v>0</v>
      </c>
      <c r="C870" s="87" t="s">
        <v>84</v>
      </c>
    </row>
    <row r="871" spans="1:32" ht="13.5" thickBot="1">
      <c r="A871" s="283" t="s">
        <v>382</v>
      </c>
      <c r="B871" s="305" t="s">
        <v>291</v>
      </c>
      <c r="C871" s="305" t="s">
        <v>383</v>
      </c>
      <c r="D871" s="305" t="s">
        <v>385</v>
      </c>
      <c r="E871" s="285" t="s">
        <v>572</v>
      </c>
    </row>
    <row r="872" spans="1:32" ht="15">
      <c r="A872" s="84" t="s">
        <v>586</v>
      </c>
      <c r="B872" s="66">
        <v>0</v>
      </c>
      <c r="C872" s="82">
        <v>0</v>
      </c>
      <c r="D872" s="601">
        <v>0</v>
      </c>
      <c r="E872" s="88">
        <f>B872*C872*D872</f>
        <v>0</v>
      </c>
    </row>
    <row r="873" spans="1:32" ht="15">
      <c r="A873" s="68" t="s">
        <v>587</v>
      </c>
      <c r="B873" s="85">
        <v>0</v>
      </c>
      <c r="C873" s="78">
        <v>0</v>
      </c>
      <c r="D873" s="602">
        <v>0</v>
      </c>
      <c r="E873" s="79">
        <f>D873*C873*B873</f>
        <v>0</v>
      </c>
    </row>
    <row r="874" spans="1:32" ht="15">
      <c r="A874" s="68" t="s">
        <v>588</v>
      </c>
      <c r="B874" s="85">
        <v>1</v>
      </c>
      <c r="C874" s="78">
        <f>K879</f>
        <v>0</v>
      </c>
      <c r="D874" s="602">
        <v>0</v>
      </c>
      <c r="E874" s="79">
        <f>D874*C874*B874</f>
        <v>0</v>
      </c>
    </row>
    <row r="875" spans="1:32" ht="15.75" thickBot="1">
      <c r="A875" s="68"/>
      <c r="B875" s="85"/>
      <c r="C875" s="78"/>
      <c r="D875" s="79"/>
      <c r="E875" s="79"/>
    </row>
    <row r="876" spans="1:32" ht="13.5" thickBot="1">
      <c r="A876" s="967" t="s">
        <v>393</v>
      </c>
      <c r="B876" s="959"/>
      <c r="C876" s="959"/>
      <c r="D876" s="960"/>
      <c r="E876" s="111">
        <f>SUM(E872:E875)</f>
        <v>0</v>
      </c>
    </row>
    <row r="878" spans="1:32" ht="15.75" thickBot="1">
      <c r="A878" s="59" t="s">
        <v>113</v>
      </c>
    </row>
    <row r="879" spans="1:32" ht="15.75" thickBot="1">
      <c r="A879" s="769" t="s">
        <v>588</v>
      </c>
      <c r="B879" s="765">
        <v>0</v>
      </c>
      <c r="C879" s="765">
        <v>0</v>
      </c>
      <c r="D879" s="765">
        <v>0</v>
      </c>
      <c r="E879" s="765">
        <v>0</v>
      </c>
      <c r="F879" s="765">
        <v>0</v>
      </c>
      <c r="G879" s="765">
        <v>0</v>
      </c>
      <c r="H879" s="765">
        <v>0</v>
      </c>
      <c r="I879" s="765">
        <v>0</v>
      </c>
      <c r="J879" s="765">
        <v>0</v>
      </c>
      <c r="K879" s="282">
        <f>SUM(B879:J879)</f>
        <v>0</v>
      </c>
      <c r="L879" s="278"/>
      <c r="M879" s="127"/>
      <c r="N879" s="127"/>
      <c r="O879" s="127"/>
      <c r="P879" s="127"/>
      <c r="Q879" s="127"/>
      <c r="R879" s="127"/>
      <c r="S879" s="127"/>
      <c r="T879" s="127"/>
      <c r="U879" s="127"/>
      <c r="V879" s="127"/>
      <c r="W879" s="127"/>
      <c r="X879" s="127"/>
      <c r="Y879" s="127"/>
      <c r="Z879" s="127"/>
      <c r="AA879" s="127"/>
      <c r="AB879" s="127"/>
      <c r="AC879" s="127"/>
      <c r="AD879" s="127"/>
      <c r="AE879" s="127"/>
      <c r="AF879" s="127"/>
    </row>
    <row r="880" spans="1:32" ht="15.75" customHeight="1" thickBot="1"/>
    <row r="881" spans="1:43" ht="13.5" thickBot="1">
      <c r="A881" s="304" t="s">
        <v>589</v>
      </c>
      <c r="B881" s="325">
        <v>0</v>
      </c>
      <c r="C881" s="87" t="s">
        <v>84</v>
      </c>
    </row>
    <row r="882" spans="1:43" ht="13.5" thickBot="1">
      <c r="A882" s="283" t="s">
        <v>382</v>
      </c>
      <c r="B882" s="305" t="s">
        <v>291</v>
      </c>
      <c r="C882" s="305" t="s">
        <v>383</v>
      </c>
      <c r="D882" s="305" t="s">
        <v>385</v>
      </c>
      <c r="E882" s="285" t="s">
        <v>572</v>
      </c>
    </row>
    <row r="883" spans="1:43" ht="15">
      <c r="A883" s="84" t="s">
        <v>590</v>
      </c>
      <c r="B883" s="66">
        <v>0</v>
      </c>
      <c r="C883" s="82">
        <v>0</v>
      </c>
      <c r="D883" s="88">
        <v>0</v>
      </c>
      <c r="E883" s="79">
        <f>D883*C883*B883</f>
        <v>0</v>
      </c>
    </row>
    <row r="884" spans="1:43" ht="15">
      <c r="A884" s="68" t="s">
        <v>591</v>
      </c>
      <c r="B884" s="85">
        <v>0</v>
      </c>
      <c r="C884" s="78">
        <v>0</v>
      </c>
      <c r="D884" s="79">
        <v>0</v>
      </c>
      <c r="E884" s="79">
        <f>D884*C884*B884</f>
        <v>0</v>
      </c>
    </row>
    <row r="885" spans="1:43" ht="15">
      <c r="A885" s="68" t="s">
        <v>592</v>
      </c>
      <c r="B885" s="85">
        <v>0</v>
      </c>
      <c r="C885" s="78">
        <v>0</v>
      </c>
      <c r="D885" s="79">
        <v>0</v>
      </c>
      <c r="E885" s="79">
        <f>D885*C885*B885</f>
        <v>0</v>
      </c>
    </row>
    <row r="886" spans="1:43" ht="15.75" thickBot="1">
      <c r="A886" s="68"/>
      <c r="B886" s="85">
        <v>0</v>
      </c>
      <c r="C886" s="78"/>
      <c r="D886" s="79"/>
      <c r="E886" s="79"/>
    </row>
    <row r="887" spans="1:43" ht="13.5" thickBot="1">
      <c r="A887" s="967" t="s">
        <v>393</v>
      </c>
      <c r="B887" s="959"/>
      <c r="C887" s="959"/>
      <c r="D887" s="960"/>
      <c r="E887" s="111">
        <f>SUM(E883:E886)</f>
        <v>0</v>
      </c>
    </row>
    <row r="890" spans="1:43" s="56" customFormat="1" ht="15.75" thickBot="1">
      <c r="A890" s="59" t="s">
        <v>593</v>
      </c>
      <c r="B890" s="8"/>
      <c r="C890" s="8"/>
      <c r="D890" s="8"/>
      <c r="E890" s="8"/>
      <c r="F890" s="8"/>
      <c r="G890" s="8"/>
      <c r="H890" s="8"/>
      <c r="I890" s="8"/>
      <c r="J890" s="127"/>
      <c r="K890" s="127"/>
      <c r="L890" s="127"/>
      <c r="M890" s="127"/>
      <c r="N890" s="127"/>
      <c r="O890" s="127"/>
      <c r="P890" s="127"/>
      <c r="Q890" s="127"/>
      <c r="R890" s="127"/>
      <c r="S890" s="127"/>
      <c r="T890" s="127"/>
      <c r="U890" s="127"/>
      <c r="V890" s="127"/>
      <c r="W890" s="127"/>
      <c r="X890" s="127"/>
      <c r="Y890" s="127"/>
      <c r="Z890" s="127"/>
      <c r="AA890" s="127"/>
      <c r="AB890" s="127"/>
      <c r="AC890" s="127"/>
      <c r="AD890" s="127"/>
      <c r="AE890" s="127"/>
      <c r="AF890" s="276"/>
      <c r="AG890" s="127"/>
      <c r="AH890" s="127"/>
      <c r="AI890" s="127"/>
      <c r="AJ890" s="127"/>
      <c r="AK890" s="127"/>
      <c r="AL890" s="127"/>
      <c r="AM890" s="127"/>
      <c r="AN890" s="127"/>
      <c r="AO890" s="127"/>
      <c r="AP890" s="127"/>
      <c r="AQ890" s="276"/>
    </row>
    <row r="891" spans="1:43" s="56" customFormat="1" ht="15.75" thickBot="1">
      <c r="A891" s="764" t="s">
        <v>594</v>
      </c>
      <c r="B891" s="767">
        <f>K894</f>
        <v>0</v>
      </c>
      <c r="C891" s="282" t="s">
        <v>84</v>
      </c>
      <c r="D891" s="275" t="s">
        <v>595</v>
      </c>
      <c r="E891" s="127"/>
      <c r="F891" s="127"/>
      <c r="G891" s="276"/>
      <c r="H891" s="127"/>
      <c r="I891" s="127"/>
      <c r="J891" s="281"/>
      <c r="K891" s="281"/>
      <c r="L891" s="281"/>
      <c r="M891" s="281"/>
      <c r="N891" s="281"/>
      <c r="O891" s="281"/>
      <c r="P891" s="281"/>
      <c r="Q891" s="281"/>
      <c r="R891" s="281"/>
      <c r="S891" s="281"/>
      <c r="T891" s="281"/>
      <c r="U891" s="281"/>
      <c r="V891" s="281"/>
      <c r="W891" s="281"/>
      <c r="X891" s="281"/>
      <c r="Y891" s="281"/>
      <c r="Z891" s="281"/>
      <c r="AA891" s="281"/>
      <c r="AB891" s="281"/>
      <c r="AC891" s="281"/>
      <c r="AD891" s="281"/>
      <c r="AE891" s="281"/>
      <c r="AF891" s="276"/>
      <c r="AG891" s="127"/>
      <c r="AH891" s="127"/>
      <c r="AI891" s="127"/>
      <c r="AJ891" s="127"/>
      <c r="AK891" s="127"/>
      <c r="AL891" s="127"/>
      <c r="AM891" s="127"/>
      <c r="AN891" s="127"/>
      <c r="AO891" s="127"/>
      <c r="AP891" s="127"/>
      <c r="AQ891" s="276"/>
    </row>
    <row r="892" spans="1:43" s="56" customFormat="1" ht="15">
      <c r="A892" s="8"/>
      <c r="B892" s="8"/>
      <c r="C892" s="8"/>
      <c r="D892" s="8"/>
      <c r="E892" s="8"/>
      <c r="F892" s="8"/>
      <c r="G892" s="8"/>
      <c r="H892" s="8"/>
      <c r="I892" s="8"/>
      <c r="J892" s="127"/>
      <c r="K892" s="127"/>
      <c r="L892" s="127"/>
      <c r="M892" s="127"/>
      <c r="N892" s="127"/>
      <c r="O892" s="127"/>
      <c r="P892" s="127"/>
      <c r="Q892" s="127"/>
      <c r="R892" s="127"/>
      <c r="S892" s="127"/>
      <c r="T892" s="127"/>
      <c r="U892" s="127"/>
      <c r="V892" s="127"/>
      <c r="W892" s="127"/>
      <c r="X892" s="127"/>
      <c r="Y892" s="127"/>
      <c r="Z892" s="127"/>
      <c r="AA892" s="127"/>
      <c r="AB892" s="127"/>
      <c r="AC892" s="127"/>
      <c r="AD892" s="127"/>
      <c r="AE892" s="127"/>
      <c r="AF892" s="276"/>
      <c r="AG892" s="127"/>
      <c r="AH892" s="127"/>
      <c r="AI892" s="127"/>
      <c r="AJ892" s="127"/>
      <c r="AK892" s="127"/>
      <c r="AL892" s="127"/>
      <c r="AM892" s="127"/>
      <c r="AN892" s="127"/>
      <c r="AO892" s="127"/>
      <c r="AP892" s="127"/>
      <c r="AQ892" s="276"/>
    </row>
    <row r="893" spans="1:43" ht="15.75" thickBot="1">
      <c r="A893" s="59" t="s">
        <v>409</v>
      </c>
    </row>
    <row r="894" spans="1:43" ht="15.75" thickBot="1">
      <c r="A894" s="764" t="str">
        <f>A891</f>
        <v>Gypsum ceiling</v>
      </c>
      <c r="B894" s="765">
        <v>0</v>
      </c>
      <c r="C894" s="765">
        <v>0</v>
      </c>
      <c r="D894" s="765">
        <v>0</v>
      </c>
      <c r="E894" s="765">
        <v>0</v>
      </c>
      <c r="F894" s="765">
        <v>0</v>
      </c>
      <c r="G894" s="91">
        <v>0</v>
      </c>
      <c r="H894" s="765">
        <v>0</v>
      </c>
      <c r="I894" s="765">
        <v>0</v>
      </c>
      <c r="J894" s="765">
        <v>0</v>
      </c>
      <c r="K894" s="282">
        <f>SUM(B894:J894)</f>
        <v>0</v>
      </c>
      <c r="L894" s="306"/>
      <c r="Y894" s="102"/>
    </row>
    <row r="896" spans="1:43" ht="13.5" thickBot="1"/>
    <row r="897" spans="1:43" ht="13.5" thickBot="1">
      <c r="A897" s="304" t="s">
        <v>596</v>
      </c>
      <c r="B897" s="86"/>
      <c r="C897" s="87"/>
    </row>
    <row r="898" spans="1:43" ht="13.5" thickBot="1">
      <c r="A898" s="283" t="s">
        <v>382</v>
      </c>
      <c r="B898" s="305" t="s">
        <v>633</v>
      </c>
      <c r="C898" s="305" t="s">
        <v>634</v>
      </c>
      <c r="D898" s="305" t="s">
        <v>635</v>
      </c>
      <c r="E898" s="305" t="s">
        <v>636</v>
      </c>
      <c r="F898" s="308" t="s">
        <v>572</v>
      </c>
      <c r="G898" s="18"/>
      <c r="H898" s="18"/>
      <c r="I898" s="18"/>
      <c r="J898" s="18"/>
    </row>
    <row r="899" spans="1:43" s="56" customFormat="1" ht="15">
      <c r="A899" s="84"/>
      <c r="B899" s="66"/>
      <c r="C899" s="82"/>
      <c r="D899" s="82"/>
      <c r="E899" s="82"/>
      <c r="F899" s="82"/>
      <c r="G899" s="75"/>
      <c r="H899" s="75"/>
      <c r="I899" s="75"/>
      <c r="J899" s="75"/>
      <c r="K899" s="127"/>
      <c r="L899" s="127"/>
      <c r="M899" s="127"/>
      <c r="N899" s="127"/>
      <c r="O899" s="127"/>
      <c r="P899" s="127"/>
      <c r="Q899" s="127"/>
      <c r="R899" s="127"/>
      <c r="S899" s="127"/>
      <c r="T899" s="127"/>
      <c r="U899" s="127"/>
      <c r="V899" s="127"/>
      <c r="W899" s="127"/>
      <c r="X899" s="127"/>
      <c r="Y899" s="127"/>
      <c r="Z899" s="127"/>
      <c r="AA899" s="127"/>
      <c r="AB899" s="127"/>
      <c r="AC899" s="127"/>
      <c r="AD899" s="127"/>
      <c r="AE899" s="127"/>
      <c r="AF899" s="127"/>
      <c r="AG899" s="276"/>
      <c r="AH899" s="127"/>
      <c r="AI899" s="127"/>
      <c r="AJ899" s="127"/>
      <c r="AK899" s="127"/>
      <c r="AL899" s="127"/>
      <c r="AM899" s="127"/>
      <c r="AN899" s="127"/>
      <c r="AO899" s="127"/>
      <c r="AP899" s="127"/>
      <c r="AQ899" s="276"/>
    </row>
    <row r="900" spans="1:43">
      <c r="A900" s="68" t="s">
        <v>599</v>
      </c>
      <c r="B900" s="309">
        <v>0</v>
      </c>
      <c r="C900" s="309">
        <v>0</v>
      </c>
      <c r="D900" s="309">
        <v>0</v>
      </c>
      <c r="E900" s="309">
        <v>0</v>
      </c>
      <c r="F900" s="324">
        <f>SUM(B900:E900)</f>
        <v>0</v>
      </c>
      <c r="G900" s="307"/>
      <c r="H900" s="307"/>
      <c r="I900" s="307"/>
      <c r="J900" s="307"/>
    </row>
    <row r="901" spans="1:43">
      <c r="A901" s="68" t="s">
        <v>601</v>
      </c>
      <c r="B901" s="309">
        <v>0</v>
      </c>
      <c r="C901" s="309">
        <v>0</v>
      </c>
      <c r="D901" s="309">
        <v>0</v>
      </c>
      <c r="E901" s="309">
        <v>0</v>
      </c>
      <c r="F901" s="324">
        <f t="shared" ref="F901:F911" si="64">SUM(B901:E901)</f>
        <v>0</v>
      </c>
      <c r="G901" s="307"/>
      <c r="H901" s="307"/>
      <c r="I901" s="307"/>
      <c r="J901" s="307"/>
    </row>
    <row r="902" spans="1:43" s="56" customFormat="1" ht="15">
      <c r="A902" s="68" t="s">
        <v>602</v>
      </c>
      <c r="B902" s="309">
        <v>0</v>
      </c>
      <c r="C902" s="309">
        <v>0</v>
      </c>
      <c r="D902" s="309">
        <v>0</v>
      </c>
      <c r="E902" s="309">
        <v>0</v>
      </c>
      <c r="F902" s="324">
        <f t="shared" si="64"/>
        <v>0</v>
      </c>
      <c r="G902" s="307"/>
      <c r="H902" s="307"/>
      <c r="I902" s="307"/>
      <c r="J902" s="307"/>
      <c r="K902" s="127"/>
      <c r="L902" s="127"/>
      <c r="M902" s="127"/>
      <c r="N902" s="127"/>
      <c r="O902" s="127"/>
      <c r="P902" s="127"/>
      <c r="Q902" s="127"/>
      <c r="R902" s="127"/>
      <c r="S902" s="127"/>
      <c r="T902" s="127"/>
      <c r="U902" s="127"/>
      <c r="V902" s="127"/>
      <c r="W902" s="127"/>
      <c r="X902" s="127"/>
      <c r="Y902" s="127"/>
      <c r="Z902" s="127"/>
      <c r="AA902" s="127"/>
      <c r="AB902" s="127"/>
      <c r="AC902" s="127"/>
      <c r="AD902" s="127"/>
      <c r="AE902" s="127"/>
      <c r="AF902" s="127"/>
      <c r="AG902" s="276"/>
      <c r="AH902" s="127"/>
      <c r="AI902" s="127"/>
      <c r="AJ902" s="127"/>
      <c r="AK902" s="127"/>
      <c r="AL902" s="127"/>
      <c r="AM902" s="127"/>
      <c r="AN902" s="127"/>
      <c r="AO902" s="127"/>
      <c r="AP902" s="127"/>
      <c r="AQ902" s="276"/>
    </row>
    <row r="903" spans="1:43">
      <c r="A903" s="68" t="s">
        <v>603</v>
      </c>
      <c r="B903" s="309">
        <v>0</v>
      </c>
      <c r="C903" s="309">
        <v>0</v>
      </c>
      <c r="D903" s="309">
        <v>0</v>
      </c>
      <c r="E903" s="309">
        <v>0</v>
      </c>
      <c r="F903" s="324">
        <f t="shared" si="64"/>
        <v>0</v>
      </c>
      <c r="G903" s="307"/>
      <c r="H903" s="307"/>
      <c r="I903" s="307"/>
      <c r="J903" s="307"/>
    </row>
    <row r="904" spans="1:43">
      <c r="A904" s="68" t="s">
        <v>604</v>
      </c>
      <c r="B904" s="309">
        <v>0</v>
      </c>
      <c r="C904" s="309">
        <v>0</v>
      </c>
      <c r="D904" s="309">
        <v>0</v>
      </c>
      <c r="E904" s="309">
        <v>0</v>
      </c>
      <c r="F904" s="324">
        <f t="shared" si="64"/>
        <v>0</v>
      </c>
      <c r="G904" s="307"/>
      <c r="H904" s="307"/>
      <c r="I904" s="307"/>
      <c r="J904" s="307"/>
    </row>
    <row r="905" spans="1:43">
      <c r="A905" s="68" t="s">
        <v>606</v>
      </c>
      <c r="B905" s="309">
        <v>0</v>
      </c>
      <c r="C905" s="309">
        <v>0</v>
      </c>
      <c r="D905" s="309">
        <v>0</v>
      </c>
      <c r="E905" s="309">
        <v>0</v>
      </c>
      <c r="F905" s="324">
        <f t="shared" si="64"/>
        <v>0</v>
      </c>
      <c r="G905" s="307"/>
      <c r="H905" s="307"/>
      <c r="I905" s="307"/>
      <c r="J905" s="307"/>
    </row>
    <row r="906" spans="1:43">
      <c r="A906" s="68" t="s">
        <v>607</v>
      </c>
      <c r="B906" s="309">
        <v>0</v>
      </c>
      <c r="C906" s="309">
        <v>0</v>
      </c>
      <c r="D906" s="309">
        <v>0</v>
      </c>
      <c r="E906" s="309">
        <v>0</v>
      </c>
      <c r="F906" s="324">
        <f t="shared" si="64"/>
        <v>0</v>
      </c>
      <c r="G906" s="307"/>
      <c r="H906" s="307"/>
      <c r="I906" s="307"/>
      <c r="J906" s="307"/>
    </row>
    <row r="907" spans="1:43">
      <c r="A907" s="68" t="s">
        <v>608</v>
      </c>
      <c r="B907" s="309">
        <v>0</v>
      </c>
      <c r="C907" s="309">
        <v>0</v>
      </c>
      <c r="D907" s="309">
        <v>0</v>
      </c>
      <c r="E907" s="309">
        <v>0</v>
      </c>
      <c r="F907" s="324">
        <f t="shared" si="64"/>
        <v>0</v>
      </c>
      <c r="G907" s="307"/>
      <c r="H907" s="307"/>
      <c r="I907" s="307"/>
      <c r="J907" s="307"/>
    </row>
    <row r="908" spans="1:43">
      <c r="A908" s="68" t="s">
        <v>609</v>
      </c>
      <c r="B908" s="309">
        <v>0</v>
      </c>
      <c r="C908" s="309">
        <v>0</v>
      </c>
      <c r="D908" s="309">
        <v>0</v>
      </c>
      <c r="E908" s="309">
        <v>0</v>
      </c>
      <c r="F908" s="324">
        <f t="shared" si="64"/>
        <v>0</v>
      </c>
      <c r="G908" s="307"/>
      <c r="H908" s="307"/>
      <c r="I908" s="307"/>
      <c r="J908" s="307"/>
    </row>
    <row r="909" spans="1:43">
      <c r="A909" s="68" t="s">
        <v>610</v>
      </c>
      <c r="B909" s="309">
        <v>0</v>
      </c>
      <c r="C909" s="309">
        <v>0</v>
      </c>
      <c r="D909" s="309">
        <v>0</v>
      </c>
      <c r="E909" s="309">
        <v>0</v>
      </c>
      <c r="F909" s="324">
        <f t="shared" si="64"/>
        <v>0</v>
      </c>
      <c r="G909" s="307"/>
      <c r="H909" s="307"/>
      <c r="I909" s="307"/>
      <c r="J909" s="307"/>
    </row>
    <row r="910" spans="1:43">
      <c r="A910" s="68" t="s">
        <v>611</v>
      </c>
      <c r="B910" s="309">
        <v>0</v>
      </c>
      <c r="C910" s="309">
        <v>0</v>
      </c>
      <c r="D910" s="309">
        <v>0</v>
      </c>
      <c r="E910" s="309">
        <v>0</v>
      </c>
      <c r="F910" s="324">
        <f t="shared" si="64"/>
        <v>0</v>
      </c>
      <c r="G910" s="307"/>
      <c r="H910" s="307"/>
      <c r="I910" s="307"/>
      <c r="J910" s="307"/>
    </row>
    <row r="911" spans="1:43">
      <c r="A911" s="68" t="s">
        <v>637</v>
      </c>
      <c r="B911" s="309">
        <v>0</v>
      </c>
      <c r="C911" s="309">
        <v>0</v>
      </c>
      <c r="D911" s="309">
        <v>0</v>
      </c>
      <c r="E911" s="309">
        <v>0</v>
      </c>
      <c r="F911" s="324">
        <f t="shared" si="64"/>
        <v>0</v>
      </c>
      <c r="G911" s="307"/>
      <c r="H911" s="307"/>
      <c r="I911" s="307"/>
      <c r="J911" s="307"/>
    </row>
    <row r="912" spans="1:43" ht="13.5" thickBot="1">
      <c r="A912" s="71"/>
      <c r="B912" s="89"/>
      <c r="C912" s="80"/>
      <c r="D912" s="80"/>
      <c r="E912" s="80"/>
      <c r="F912" s="80"/>
      <c r="G912" s="75"/>
      <c r="H912" s="75"/>
      <c r="I912" s="75"/>
      <c r="J912" s="75"/>
    </row>
    <row r="915" spans="1:43" s="56" customFormat="1" ht="15.75" thickBot="1">
      <c r="A915" s="59" t="s">
        <v>612</v>
      </c>
      <c r="B915" s="8"/>
      <c r="C915" s="8"/>
      <c r="D915" s="8"/>
      <c r="E915" s="8"/>
      <c r="F915" s="8"/>
      <c r="G915" s="8"/>
      <c r="H915" s="8"/>
      <c r="I915" s="8"/>
      <c r="J915" s="127"/>
      <c r="K915" s="127"/>
      <c r="L915" s="127"/>
      <c r="M915" s="127"/>
      <c r="N915" s="127"/>
      <c r="O915" s="127"/>
      <c r="P915" s="127"/>
      <c r="Q915" s="127"/>
      <c r="R915" s="127"/>
      <c r="S915" s="127"/>
      <c r="T915" s="127"/>
      <c r="U915" s="127"/>
      <c r="V915" s="127"/>
      <c r="W915" s="127"/>
      <c r="X915" s="127"/>
      <c r="Y915" s="127"/>
      <c r="Z915" s="127"/>
      <c r="AA915" s="127"/>
      <c r="AB915" s="127"/>
      <c r="AC915" s="127"/>
      <c r="AD915" s="127"/>
      <c r="AE915" s="127"/>
      <c r="AF915" s="276"/>
      <c r="AG915" s="127"/>
      <c r="AH915" s="127"/>
      <c r="AI915" s="127"/>
      <c r="AJ915" s="127"/>
      <c r="AK915" s="127"/>
      <c r="AL915" s="127"/>
      <c r="AM915" s="127"/>
      <c r="AN915" s="127"/>
      <c r="AO915" s="127"/>
      <c r="AP915" s="127"/>
      <c r="AQ915" s="276"/>
    </row>
    <row r="916" spans="1:43" s="56" customFormat="1" ht="15.75" thickBot="1">
      <c r="A916" s="769" t="s">
        <v>613</v>
      </c>
      <c r="B916" s="767">
        <f>K919</f>
        <v>0</v>
      </c>
      <c r="C916" s="282" t="s">
        <v>614</v>
      </c>
      <c r="D916" s="275"/>
      <c r="E916" s="127"/>
      <c r="F916" s="127"/>
      <c r="G916" s="276"/>
      <c r="H916" s="127"/>
      <c r="I916" s="127"/>
      <c r="J916" s="281"/>
      <c r="K916" s="281"/>
      <c r="L916" s="281"/>
      <c r="M916" s="281"/>
      <c r="N916" s="281"/>
      <c r="O916" s="281"/>
      <c r="P916" s="281"/>
      <c r="Q916" s="281"/>
      <c r="R916" s="281"/>
      <c r="S916" s="281"/>
      <c r="T916" s="281"/>
      <c r="U916" s="281"/>
      <c r="V916" s="281"/>
      <c r="W916" s="281"/>
      <c r="X916" s="281"/>
      <c r="Y916" s="281"/>
      <c r="Z916" s="281"/>
      <c r="AA916" s="281"/>
      <c r="AB916" s="281"/>
      <c r="AC916" s="281"/>
      <c r="AD916" s="281"/>
      <c r="AE916" s="281"/>
      <c r="AF916" s="276"/>
      <c r="AG916" s="127"/>
      <c r="AH916" s="127"/>
      <c r="AI916" s="127"/>
      <c r="AJ916" s="127"/>
      <c r="AK916" s="127"/>
      <c r="AL916" s="127"/>
      <c r="AM916" s="127"/>
      <c r="AN916" s="127"/>
      <c r="AO916" s="127"/>
      <c r="AP916" s="127"/>
      <c r="AQ916" s="276"/>
    </row>
    <row r="917" spans="1:43" s="56" customFormat="1" ht="15">
      <c r="A917" s="8"/>
      <c r="B917" s="8"/>
      <c r="C917" s="8"/>
      <c r="D917" s="8"/>
      <c r="E917" s="8"/>
      <c r="F917" s="8"/>
      <c r="G917" s="8"/>
      <c r="H917" s="8"/>
      <c r="I917" s="8"/>
      <c r="J917" s="127"/>
      <c r="K917" s="127"/>
      <c r="L917" s="127"/>
      <c r="M917" s="127"/>
      <c r="N917" s="127"/>
      <c r="O917" s="127"/>
      <c r="P917" s="127"/>
      <c r="Q917" s="127"/>
      <c r="R917" s="127"/>
      <c r="S917" s="127"/>
      <c r="T917" s="127"/>
      <c r="U917" s="127"/>
      <c r="V917" s="127"/>
      <c r="W917" s="127"/>
      <c r="X917" s="127"/>
      <c r="Y917" s="127"/>
      <c r="Z917" s="127"/>
      <c r="AA917" s="127"/>
      <c r="AB917" s="127"/>
      <c r="AC917" s="127"/>
      <c r="AD917" s="127"/>
      <c r="AE917" s="127"/>
      <c r="AF917" s="276"/>
      <c r="AG917" s="127"/>
      <c r="AH917" s="127"/>
      <c r="AI917" s="127"/>
      <c r="AJ917" s="127"/>
      <c r="AK917" s="127"/>
      <c r="AL917" s="127"/>
      <c r="AM917" s="127"/>
      <c r="AN917" s="127"/>
      <c r="AO917" s="127"/>
      <c r="AP917" s="127"/>
      <c r="AQ917" s="276"/>
    </row>
    <row r="918" spans="1:43" ht="15.75" thickBot="1">
      <c r="A918" s="59" t="s">
        <v>615</v>
      </c>
    </row>
    <row r="919" spans="1:43" ht="15.75" thickBot="1">
      <c r="A919" s="764" t="str">
        <f>A916</f>
        <v>Hand Rail</v>
      </c>
      <c r="B919" s="765">
        <v>0</v>
      </c>
      <c r="C919" s="765">
        <v>0</v>
      </c>
      <c r="D919" s="765">
        <v>0</v>
      </c>
      <c r="E919" s="765">
        <v>0</v>
      </c>
      <c r="F919" s="765">
        <v>0</v>
      </c>
      <c r="G919" s="91">
        <v>0</v>
      </c>
      <c r="H919" s="765">
        <v>0</v>
      </c>
      <c r="I919" s="765">
        <v>0</v>
      </c>
      <c r="J919" s="765">
        <v>0</v>
      </c>
      <c r="K919" s="282">
        <f>SUM(B919:J919)</f>
        <v>0</v>
      </c>
      <c r="L919" s="306"/>
      <c r="Y919" s="102"/>
    </row>
  </sheetData>
  <mergeCells count="63">
    <mergeCell ref="A863:D863"/>
    <mergeCell ref="A876:D876"/>
    <mergeCell ref="A887:D887"/>
    <mergeCell ref="B787:F787"/>
    <mergeCell ref="B793:F793"/>
    <mergeCell ref="A802:C802"/>
    <mergeCell ref="A829:E829"/>
    <mergeCell ref="A840:E840"/>
    <mergeCell ref="A851:C851"/>
    <mergeCell ref="H571:O571"/>
    <mergeCell ref="B581:F581"/>
    <mergeCell ref="A592:C592"/>
    <mergeCell ref="A774:C774"/>
    <mergeCell ref="B611:F611"/>
    <mergeCell ref="A620:C620"/>
    <mergeCell ref="A647:E647"/>
    <mergeCell ref="A658:E658"/>
    <mergeCell ref="A669:C669"/>
    <mergeCell ref="A681:D681"/>
    <mergeCell ref="A694:D694"/>
    <mergeCell ref="A705:D705"/>
    <mergeCell ref="A748:C748"/>
    <mergeCell ref="H754:O754"/>
    <mergeCell ref="B764:F764"/>
    <mergeCell ref="B605:F605"/>
    <mergeCell ref="B435:F435"/>
    <mergeCell ref="A444:C444"/>
    <mergeCell ref="A471:E471"/>
    <mergeCell ref="A482:C482"/>
    <mergeCell ref="A494:D494"/>
    <mergeCell ref="A507:D507"/>
    <mergeCell ref="A518:D518"/>
    <mergeCell ref="A563:C563"/>
    <mergeCell ref="H210:O210"/>
    <mergeCell ref="B219:F219"/>
    <mergeCell ref="A231:C231"/>
    <mergeCell ref="B242:F242"/>
    <mergeCell ref="B428:F428"/>
    <mergeCell ref="A258:C258"/>
    <mergeCell ref="A285:E285"/>
    <mergeCell ref="A296:E296"/>
    <mergeCell ref="A308:C308"/>
    <mergeCell ref="A320:D320"/>
    <mergeCell ref="A333:D333"/>
    <mergeCell ref="A344:D344"/>
    <mergeCell ref="A389:C389"/>
    <mergeCell ref="H398:O398"/>
    <mergeCell ref="B407:F407"/>
    <mergeCell ref="A418:C418"/>
    <mergeCell ref="B249:F249"/>
    <mergeCell ref="A79:C79"/>
    <mergeCell ref="A106:E106"/>
    <mergeCell ref="A117:C117"/>
    <mergeCell ref="A129:D129"/>
    <mergeCell ref="A142:D142"/>
    <mergeCell ref="A153:D153"/>
    <mergeCell ref="A201:C201"/>
    <mergeCell ref="B70:F70"/>
    <mergeCell ref="A13:C13"/>
    <mergeCell ref="H21:O21"/>
    <mergeCell ref="B36:F36"/>
    <mergeCell ref="A47:C47"/>
    <mergeCell ref="B59:F5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3C264-EA97-4B1F-B84B-E89687AA1EAD}">
  <sheetPr>
    <tabColor rgb="FFFF0000"/>
  </sheetPr>
  <dimension ref="A1:AQ919"/>
  <sheetViews>
    <sheetView zoomScale="115" zoomScaleNormal="115" workbookViewId="0">
      <selection activeCell="O11" sqref="O11"/>
    </sheetView>
  </sheetViews>
  <sheetFormatPr defaultRowHeight="12.75"/>
  <cols>
    <col min="1" max="1" width="28.140625" style="8" customWidth="1"/>
    <col min="2" max="2" width="11.28515625" style="8" customWidth="1"/>
    <col min="3" max="3" width="8.85546875" style="8" customWidth="1"/>
    <col min="4" max="4" width="11.85546875" style="8" customWidth="1"/>
    <col min="5" max="5" width="9.140625" style="8"/>
    <col min="6" max="6" width="10.7109375" style="8" customWidth="1"/>
    <col min="7" max="7" width="12.5703125" style="8" customWidth="1"/>
    <col min="8" max="8" width="10.85546875" style="8" customWidth="1"/>
    <col min="9" max="9" width="9.140625" style="8"/>
    <col min="10" max="10" width="9.7109375" style="8" customWidth="1"/>
    <col min="11" max="11" width="10.140625" style="8" customWidth="1"/>
    <col min="12" max="12" width="9.85546875" style="8" customWidth="1"/>
    <col min="13" max="14" width="9.140625" style="8"/>
    <col min="15" max="15" width="10.5703125" style="8" customWidth="1"/>
    <col min="16" max="16" width="10.42578125" style="8" customWidth="1"/>
    <col min="17" max="16384" width="9.140625" style="8"/>
  </cols>
  <sheetData>
    <row r="1" spans="1:43" ht="13.5" thickBot="1"/>
    <row r="2" spans="1:43" s="579" customFormat="1" ht="15.75" thickBot="1">
      <c r="A2" s="578" t="s">
        <v>104</v>
      </c>
    </row>
    <row r="4" spans="1:43" ht="15.75" thickBot="1">
      <c r="A4" s="59" t="s">
        <v>526</v>
      </c>
    </row>
    <row r="5" spans="1:43" s="56" customFormat="1" ht="15.75" thickBot="1">
      <c r="A5" s="286" t="s">
        <v>527</v>
      </c>
      <c r="B5" s="287">
        <f>D13-G36</f>
        <v>265.01063999999991</v>
      </c>
      <c r="C5" s="282" t="s">
        <v>84</v>
      </c>
      <c r="D5" s="275"/>
      <c r="E5" s="127"/>
      <c r="F5" s="580"/>
      <c r="G5" s="276"/>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276"/>
      <c r="AH5" s="127"/>
      <c r="AI5" s="127"/>
      <c r="AJ5" s="127"/>
      <c r="AK5" s="127"/>
      <c r="AL5" s="127"/>
      <c r="AM5" s="127"/>
      <c r="AN5" s="127"/>
      <c r="AO5" s="127"/>
      <c r="AP5" s="127"/>
      <c r="AQ5" s="276"/>
    </row>
    <row r="6" spans="1:43" ht="13.5" thickBot="1"/>
    <row r="7" spans="1:43" ht="13.5" thickBot="1">
      <c r="A7" s="283" t="s">
        <v>382</v>
      </c>
      <c r="B7" s="284" t="s">
        <v>383</v>
      </c>
      <c r="C7" s="284" t="s">
        <v>385</v>
      </c>
      <c r="D7" s="285" t="s">
        <v>408</v>
      </c>
    </row>
    <row r="8" spans="1:43">
      <c r="A8" s="61"/>
      <c r="B8" s="82"/>
      <c r="C8" s="82"/>
      <c r="D8" s="82"/>
    </row>
    <row r="9" spans="1:43" ht="15">
      <c r="A9" s="67" t="s">
        <v>528</v>
      </c>
      <c r="B9" s="78">
        <f>P16</f>
        <v>40.871999999999993</v>
      </c>
      <c r="C9" s="78">
        <f>3-0.43+1</f>
        <v>3.57</v>
      </c>
      <c r="D9" s="79">
        <f>C9*B9</f>
        <v>145.91303999999997</v>
      </c>
      <c r="E9" s="75" t="s">
        <v>529</v>
      </c>
      <c r="F9" s="75"/>
      <c r="G9" s="75"/>
    </row>
    <row r="10" spans="1:43" ht="15">
      <c r="A10" s="67" t="s">
        <v>530</v>
      </c>
      <c r="B10" s="78">
        <f>P17</f>
        <v>29.615999999999996</v>
      </c>
      <c r="C10" s="78">
        <f>3-0.15+1</f>
        <v>3.85</v>
      </c>
      <c r="D10" s="79">
        <f>C10*B10</f>
        <v>114.02159999999999</v>
      </c>
      <c r="E10" s="75" t="s">
        <v>529</v>
      </c>
      <c r="F10" s="75"/>
      <c r="G10" s="75"/>
    </row>
    <row r="11" spans="1:43" ht="15">
      <c r="A11" s="67" t="s">
        <v>530</v>
      </c>
      <c r="B11" s="78">
        <f>P18</f>
        <v>14.73</v>
      </c>
      <c r="C11" s="78">
        <v>1.2</v>
      </c>
      <c r="D11" s="79">
        <f>C11*B11</f>
        <v>17.675999999999998</v>
      </c>
      <c r="E11" s="75" t="s">
        <v>529</v>
      </c>
      <c r="F11" s="75"/>
      <c r="G11" s="75"/>
    </row>
    <row r="12" spans="1:43" ht="15.75" thickBot="1">
      <c r="A12" s="67"/>
      <c r="B12" s="78"/>
      <c r="C12" s="78"/>
      <c r="D12" s="79"/>
    </row>
    <row r="13" spans="1:43" ht="15.75" thickBot="1">
      <c r="A13" s="958" t="s">
        <v>393</v>
      </c>
      <c r="B13" s="959"/>
      <c r="C13" s="960"/>
      <c r="D13" s="77">
        <f>SUM(D8:D12)</f>
        <v>277.61063999999993</v>
      </c>
    </row>
    <row r="15" spans="1:43" ht="15.75" thickBot="1">
      <c r="A15" s="59" t="s">
        <v>531</v>
      </c>
    </row>
    <row r="16" spans="1:43" s="56" customFormat="1" ht="17.25" customHeight="1" thickBot="1">
      <c r="A16" s="764" t="str">
        <f>A9</f>
        <v>150mm outer wall (Beam Line)</v>
      </c>
      <c r="B16" s="765">
        <v>5.0140000000000002</v>
      </c>
      <c r="C16" s="765">
        <v>4.2039999999999997</v>
      </c>
      <c r="D16" s="765">
        <v>4.2039999999999997</v>
      </c>
      <c r="E16" s="765">
        <v>2.6269999999999998</v>
      </c>
      <c r="F16" s="765">
        <v>0.15</v>
      </c>
      <c r="G16" s="765">
        <v>1.8979999999999999</v>
      </c>
      <c r="H16" s="765">
        <v>1.1499999999999999</v>
      </c>
      <c r="I16" s="765">
        <f>0.31+1.264</f>
        <v>1.5740000000000001</v>
      </c>
      <c r="J16" s="765">
        <v>3.76</v>
      </c>
      <c r="K16" s="765">
        <v>5.5549999999999997</v>
      </c>
      <c r="L16" s="765">
        <v>5.3920000000000003</v>
      </c>
      <c r="M16" s="765">
        <v>1.675</v>
      </c>
      <c r="N16" s="765">
        <f>1.314+2.355</f>
        <v>3.669</v>
      </c>
      <c r="O16" s="765">
        <v>0</v>
      </c>
      <c r="P16" s="282">
        <f>SUM(B16:O16)</f>
        <v>40.871999999999993</v>
      </c>
      <c r="Q16" s="127"/>
      <c r="R16" s="127"/>
      <c r="S16" s="127"/>
      <c r="T16" s="127"/>
      <c r="U16" s="127"/>
      <c r="V16" s="127"/>
      <c r="W16" s="127"/>
      <c r="X16" s="127"/>
      <c r="Y16" s="127"/>
      <c r="Z16" s="127"/>
      <c r="AA16" s="127"/>
      <c r="AB16" s="276"/>
      <c r="AC16" s="127"/>
      <c r="AD16" s="127"/>
      <c r="AE16" s="127"/>
      <c r="AF16" s="127"/>
      <c r="AG16" s="276"/>
      <c r="AH16" s="127"/>
      <c r="AI16" s="127"/>
      <c r="AJ16" s="127"/>
      <c r="AK16" s="127"/>
      <c r="AL16" s="127"/>
      <c r="AM16" s="127"/>
      <c r="AN16" s="127"/>
      <c r="AO16" s="127"/>
      <c r="AP16" s="127"/>
      <c r="AQ16" s="276"/>
    </row>
    <row r="17" spans="1:43" s="56" customFormat="1" ht="17.25" customHeight="1" thickBot="1">
      <c r="A17" s="764" t="str">
        <f>A10</f>
        <v>150mm outer wall (Slab Line)</v>
      </c>
      <c r="B17" s="765">
        <v>5.6150000000000002</v>
      </c>
      <c r="C17" s="765">
        <v>3.67</v>
      </c>
      <c r="D17" s="765">
        <v>1.5840000000000001</v>
      </c>
      <c r="E17" s="765">
        <v>2.0310000000000001</v>
      </c>
      <c r="F17" s="765">
        <v>2.4</v>
      </c>
      <c r="G17" s="765">
        <v>2.65</v>
      </c>
      <c r="H17" s="765">
        <v>4.0999999999999996</v>
      </c>
      <c r="I17" s="765">
        <f>1.1+2.23</f>
        <v>3.33</v>
      </c>
      <c r="J17" s="765">
        <v>1.3759999999999999</v>
      </c>
      <c r="K17" s="765">
        <v>2.86</v>
      </c>
      <c r="L17" s="765">
        <v>0</v>
      </c>
      <c r="M17" s="765">
        <v>0</v>
      </c>
      <c r="N17" s="765">
        <v>0</v>
      </c>
      <c r="O17" s="765">
        <v>0</v>
      </c>
      <c r="P17" s="282">
        <f>SUM(B17:O17)</f>
        <v>29.615999999999996</v>
      </c>
      <c r="Q17" s="127"/>
      <c r="R17" s="127"/>
      <c r="S17" s="127"/>
      <c r="T17" s="127"/>
      <c r="U17" s="127"/>
      <c r="V17" s="127"/>
      <c r="W17" s="127"/>
      <c r="X17" s="127"/>
      <c r="Y17" s="127"/>
      <c r="Z17" s="127"/>
      <c r="AA17" s="127"/>
      <c r="AB17" s="276"/>
      <c r="AC17" s="127"/>
      <c r="AD17" s="127"/>
      <c r="AE17" s="127"/>
      <c r="AF17" s="127"/>
      <c r="AG17" s="276"/>
      <c r="AH17" s="127"/>
      <c r="AI17" s="127"/>
      <c r="AJ17" s="127"/>
      <c r="AK17" s="127"/>
      <c r="AL17" s="127"/>
      <c r="AM17" s="127"/>
      <c r="AN17" s="127"/>
      <c r="AO17" s="127"/>
      <c r="AP17" s="127"/>
      <c r="AQ17" s="276"/>
    </row>
    <row r="18" spans="1:43" s="56" customFormat="1" ht="17.25" customHeight="1" thickBot="1">
      <c r="A18" s="764" t="str">
        <f>A11</f>
        <v>150mm outer wall (Slab Line)</v>
      </c>
      <c r="B18" s="765">
        <v>4.1630000000000003</v>
      </c>
      <c r="C18" s="765">
        <v>1.661</v>
      </c>
      <c r="D18" s="765">
        <v>1.0680000000000001</v>
      </c>
      <c r="E18" s="765">
        <v>2.145</v>
      </c>
      <c r="F18" s="765">
        <v>2.145</v>
      </c>
      <c r="G18" s="765">
        <v>1.774</v>
      </c>
      <c r="H18" s="765">
        <v>1.774</v>
      </c>
      <c r="I18" s="765">
        <v>0</v>
      </c>
      <c r="J18" s="765">
        <v>0</v>
      </c>
      <c r="K18" s="765">
        <v>0</v>
      </c>
      <c r="L18" s="765">
        <v>0</v>
      </c>
      <c r="M18" s="765">
        <v>0</v>
      </c>
      <c r="N18" s="765">
        <v>0</v>
      </c>
      <c r="O18" s="765">
        <v>0</v>
      </c>
      <c r="P18" s="282">
        <f>SUM(B18:O18)</f>
        <v>14.73</v>
      </c>
      <c r="Q18" s="127"/>
      <c r="R18" s="127"/>
      <c r="S18" s="127"/>
      <c r="T18" s="127"/>
      <c r="U18" s="127"/>
      <c r="V18" s="127"/>
      <c r="W18" s="127"/>
      <c r="X18" s="127"/>
      <c r="Y18" s="127"/>
      <c r="Z18" s="127"/>
      <c r="AA18" s="127"/>
      <c r="AB18" s="276"/>
      <c r="AC18" s="127"/>
      <c r="AD18" s="127"/>
      <c r="AE18" s="127"/>
      <c r="AF18" s="127"/>
      <c r="AG18" s="276"/>
      <c r="AH18" s="127"/>
      <c r="AI18" s="127"/>
      <c r="AJ18" s="127"/>
      <c r="AK18" s="127"/>
      <c r="AL18" s="127"/>
      <c r="AM18" s="127"/>
      <c r="AN18" s="127"/>
      <c r="AO18" s="127"/>
      <c r="AP18" s="127"/>
      <c r="AQ18" s="276"/>
    </row>
    <row r="20" spans="1:43" ht="15.75" thickBot="1">
      <c r="A20" s="59" t="s">
        <v>447</v>
      </c>
    </row>
    <row r="21" spans="1:43" s="56" customFormat="1" ht="15.75" customHeight="1" thickBot="1">
      <c r="A21" s="310" t="s">
        <v>382</v>
      </c>
      <c r="B21" s="311" t="s">
        <v>82</v>
      </c>
      <c r="C21" s="311" t="s">
        <v>291</v>
      </c>
      <c r="D21" s="311" t="s">
        <v>384</v>
      </c>
      <c r="E21" s="311" t="s">
        <v>385</v>
      </c>
      <c r="F21" s="313" t="s">
        <v>409</v>
      </c>
      <c r="G21" s="314" t="s">
        <v>532</v>
      </c>
      <c r="H21" s="961" t="s">
        <v>533</v>
      </c>
      <c r="I21" s="962"/>
      <c r="J21" s="962"/>
      <c r="K21" s="962"/>
      <c r="L21" s="962"/>
      <c r="M21" s="962"/>
      <c r="N21" s="962"/>
      <c r="O21" s="963"/>
      <c r="P21" s="315" t="s">
        <v>532</v>
      </c>
    </row>
    <row r="22" spans="1:43">
      <c r="A22" s="61"/>
      <c r="B22" s="61"/>
      <c r="C22" s="61"/>
      <c r="D22" s="61"/>
      <c r="E22" s="61"/>
      <c r="F22" s="61"/>
      <c r="G22" s="61"/>
      <c r="N22" s="69"/>
      <c r="O22" s="70"/>
      <c r="P22" s="61"/>
    </row>
    <row r="23" spans="1:43" ht="15">
      <c r="A23" s="62" t="s">
        <v>534</v>
      </c>
      <c r="B23" s="309" t="s">
        <v>535</v>
      </c>
      <c r="C23" s="73">
        <f>P23</f>
        <v>1</v>
      </c>
      <c r="D23" s="73">
        <v>0.9</v>
      </c>
      <c r="E23" s="73">
        <v>1.5</v>
      </c>
      <c r="F23" s="79">
        <f>E23*D23</f>
        <v>1.35</v>
      </c>
      <c r="G23" s="79">
        <f>F23*C23</f>
        <v>1.35</v>
      </c>
      <c r="H23" s="102">
        <v>1</v>
      </c>
      <c r="I23" s="102">
        <v>0</v>
      </c>
      <c r="J23" s="102">
        <v>0</v>
      </c>
      <c r="K23" s="75">
        <v>0</v>
      </c>
      <c r="L23" s="75">
        <v>0</v>
      </c>
      <c r="M23" s="75">
        <v>0</v>
      </c>
      <c r="N23" s="75">
        <v>0</v>
      </c>
      <c r="O23" s="766">
        <v>0</v>
      </c>
      <c r="P23" s="79">
        <f>SUM(H23:O23)</f>
        <v>1</v>
      </c>
    </row>
    <row r="24" spans="1:43" ht="15">
      <c r="A24" s="63"/>
      <c r="B24" s="309" t="s">
        <v>536</v>
      </c>
      <c r="C24" s="73">
        <f t="shared" ref="C24:C25" si="0">P24</f>
        <v>1</v>
      </c>
      <c r="D24" s="73">
        <v>1.8</v>
      </c>
      <c r="E24" s="73">
        <v>1.5</v>
      </c>
      <c r="F24" s="79">
        <f t="shared" ref="F24:F25" si="1">E24*D24</f>
        <v>2.7</v>
      </c>
      <c r="G24" s="79">
        <f t="shared" ref="G24:G25" si="2">F24*C24</f>
        <v>2.7</v>
      </c>
      <c r="H24" s="102">
        <v>1</v>
      </c>
      <c r="I24" s="102">
        <v>0</v>
      </c>
      <c r="J24" s="75">
        <v>0</v>
      </c>
      <c r="K24" s="75">
        <v>0</v>
      </c>
      <c r="L24" s="75">
        <v>0</v>
      </c>
      <c r="M24" s="75">
        <v>0</v>
      </c>
      <c r="N24" s="75">
        <v>0</v>
      </c>
      <c r="O24" s="766">
        <v>0</v>
      </c>
      <c r="P24" s="79">
        <f t="shared" ref="P24:P25" si="3">SUM(H24:O24)</f>
        <v>1</v>
      </c>
    </row>
    <row r="25" spans="1:43" ht="15">
      <c r="A25" s="63"/>
      <c r="B25" s="309" t="s">
        <v>537</v>
      </c>
      <c r="C25" s="73">
        <f t="shared" si="0"/>
        <v>1</v>
      </c>
      <c r="D25" s="73">
        <v>0.95</v>
      </c>
      <c r="E25" s="73">
        <v>2.25</v>
      </c>
      <c r="F25" s="79">
        <f t="shared" si="1"/>
        <v>2.1374999999999997</v>
      </c>
      <c r="G25" s="79">
        <f t="shared" si="2"/>
        <v>2.1374999999999997</v>
      </c>
      <c r="H25" s="102">
        <v>1</v>
      </c>
      <c r="I25" s="102">
        <v>0</v>
      </c>
      <c r="J25" s="75">
        <v>0</v>
      </c>
      <c r="K25" s="75">
        <v>0</v>
      </c>
      <c r="L25" s="75">
        <v>0</v>
      </c>
      <c r="M25" s="75">
        <v>0</v>
      </c>
      <c r="N25" s="75">
        <v>0</v>
      </c>
      <c r="O25" s="766">
        <v>0</v>
      </c>
      <c r="P25" s="79">
        <f t="shared" si="3"/>
        <v>1</v>
      </c>
    </row>
    <row r="26" spans="1:43" ht="15">
      <c r="A26" s="63"/>
      <c r="B26" s="309"/>
      <c r="C26" s="73"/>
      <c r="D26" s="73"/>
      <c r="E26" s="73"/>
      <c r="F26" s="79"/>
      <c r="G26" s="79"/>
      <c r="H26" s="102"/>
      <c r="I26" s="102"/>
      <c r="J26" s="102"/>
      <c r="O26" s="217"/>
      <c r="P26" s="79"/>
    </row>
    <row r="27" spans="1:43" ht="15">
      <c r="A27" s="62" t="s">
        <v>538</v>
      </c>
      <c r="B27" s="309" t="s">
        <v>539</v>
      </c>
      <c r="C27" s="73">
        <f t="shared" ref="C27:C34" si="4">P27</f>
        <v>3</v>
      </c>
      <c r="D27" s="73">
        <v>0.95</v>
      </c>
      <c r="E27" s="73">
        <v>2.25</v>
      </c>
      <c r="F27" s="79">
        <f t="shared" ref="F27" si="5">E27*D27</f>
        <v>2.1374999999999997</v>
      </c>
      <c r="G27" s="79">
        <f t="shared" ref="G27" si="6">F27*C27</f>
        <v>6.4124999999999996</v>
      </c>
      <c r="H27" s="102">
        <v>1</v>
      </c>
      <c r="I27" s="75">
        <v>2</v>
      </c>
      <c r="J27" s="75">
        <v>0</v>
      </c>
      <c r="K27" s="75">
        <v>0</v>
      </c>
      <c r="L27" s="75">
        <v>0</v>
      </c>
      <c r="M27" s="75">
        <v>0</v>
      </c>
      <c r="N27" s="75">
        <v>0</v>
      </c>
      <c r="O27" s="766">
        <v>0</v>
      </c>
      <c r="P27" s="79">
        <f t="shared" ref="P27" si="7">SUM(H27:O27)</f>
        <v>3</v>
      </c>
    </row>
    <row r="28" spans="1:43" ht="15">
      <c r="A28" s="598"/>
      <c r="B28" s="309" t="s">
        <v>536</v>
      </c>
      <c r="C28" s="73">
        <f t="shared" si="4"/>
        <v>1</v>
      </c>
      <c r="D28" s="73">
        <v>1.8</v>
      </c>
      <c r="E28" s="73">
        <v>1.5</v>
      </c>
      <c r="F28" s="79">
        <f t="shared" ref="F28:F30" si="8">E28*D28</f>
        <v>2.7</v>
      </c>
      <c r="G28" s="79">
        <f t="shared" ref="G28:G30" si="9">F28*C28</f>
        <v>2.7</v>
      </c>
      <c r="H28" s="102">
        <v>1</v>
      </c>
      <c r="I28" s="75">
        <v>0</v>
      </c>
      <c r="J28" s="75">
        <v>0</v>
      </c>
      <c r="K28" s="75">
        <v>0</v>
      </c>
      <c r="L28" s="75">
        <v>0</v>
      </c>
      <c r="M28" s="75">
        <v>0</v>
      </c>
      <c r="N28" s="75">
        <v>0</v>
      </c>
      <c r="O28" s="766">
        <v>0</v>
      </c>
      <c r="P28" s="79">
        <f t="shared" ref="P28:P30" si="10">SUM(H28:O28)</f>
        <v>1</v>
      </c>
    </row>
    <row r="29" spans="1:43" ht="15">
      <c r="A29" s="598"/>
      <c r="B29" s="309" t="s">
        <v>535</v>
      </c>
      <c r="C29" s="73">
        <f t="shared" si="4"/>
        <v>1</v>
      </c>
      <c r="D29" s="73">
        <v>0.9</v>
      </c>
      <c r="E29" s="73">
        <v>1.5</v>
      </c>
      <c r="F29" s="79">
        <f t="shared" si="8"/>
        <v>1.35</v>
      </c>
      <c r="G29" s="79">
        <f t="shared" si="9"/>
        <v>1.35</v>
      </c>
      <c r="H29" s="102">
        <v>1</v>
      </c>
      <c r="I29" s="75">
        <v>0</v>
      </c>
      <c r="J29" s="75">
        <v>0</v>
      </c>
      <c r="K29" s="75">
        <v>0</v>
      </c>
      <c r="L29" s="75">
        <v>0</v>
      </c>
      <c r="M29" s="75">
        <v>0</v>
      </c>
      <c r="N29" s="75">
        <v>0</v>
      </c>
      <c r="O29" s="766">
        <v>0</v>
      </c>
      <c r="P29" s="79">
        <f t="shared" si="10"/>
        <v>1</v>
      </c>
    </row>
    <row r="30" spans="1:43" ht="15">
      <c r="A30" s="598"/>
      <c r="B30" s="309" t="s">
        <v>540</v>
      </c>
      <c r="C30" s="73">
        <f t="shared" si="4"/>
        <v>1</v>
      </c>
      <c r="D30" s="73">
        <v>1.5169999999999999</v>
      </c>
      <c r="E30" s="73">
        <v>1.5</v>
      </c>
      <c r="F30" s="79">
        <f t="shared" si="8"/>
        <v>2.2755000000000001</v>
      </c>
      <c r="G30" s="79">
        <f t="shared" si="9"/>
        <v>2.2755000000000001</v>
      </c>
      <c r="H30" s="102">
        <v>1</v>
      </c>
      <c r="I30" s="75">
        <v>0</v>
      </c>
      <c r="J30" s="75">
        <v>0</v>
      </c>
      <c r="K30" s="75">
        <v>0</v>
      </c>
      <c r="L30" s="75">
        <v>0</v>
      </c>
      <c r="M30" s="75">
        <v>0</v>
      </c>
      <c r="N30" s="75">
        <v>0</v>
      </c>
      <c r="O30" s="766">
        <v>0</v>
      </c>
      <c r="P30" s="79">
        <f t="shared" si="10"/>
        <v>1</v>
      </c>
    </row>
    <row r="31" spans="1:43" ht="15">
      <c r="A31" s="598"/>
      <c r="B31" s="309" t="s">
        <v>541</v>
      </c>
      <c r="C31" s="73">
        <f t="shared" si="4"/>
        <v>1</v>
      </c>
      <c r="D31" s="73">
        <v>1.7</v>
      </c>
      <c r="E31" s="73">
        <v>2.4500000000000002</v>
      </c>
      <c r="F31" s="79">
        <f t="shared" ref="F31:F34" si="11">E31*D31</f>
        <v>4.165</v>
      </c>
      <c r="G31" s="79">
        <f t="shared" ref="G31:G34" si="12">F31*C31</f>
        <v>4.165</v>
      </c>
      <c r="H31" s="102">
        <v>1</v>
      </c>
      <c r="I31" s="75">
        <v>0</v>
      </c>
      <c r="J31" s="75">
        <v>0</v>
      </c>
      <c r="K31" s="75">
        <v>0</v>
      </c>
      <c r="L31" s="75">
        <v>0</v>
      </c>
      <c r="M31" s="75">
        <v>0</v>
      </c>
      <c r="N31" s="75">
        <v>0</v>
      </c>
      <c r="O31" s="766">
        <v>0</v>
      </c>
      <c r="P31" s="79">
        <f t="shared" ref="P31:P34" si="13">SUM(H31:O31)</f>
        <v>1</v>
      </c>
    </row>
    <row r="32" spans="1:43" ht="15">
      <c r="A32" s="598"/>
      <c r="B32" s="309" t="s">
        <v>542</v>
      </c>
      <c r="C32" s="73">
        <f t="shared" si="4"/>
        <v>1</v>
      </c>
      <c r="D32" s="73">
        <v>2.4500000000000002</v>
      </c>
      <c r="E32" s="73">
        <v>2.25</v>
      </c>
      <c r="F32" s="79">
        <f t="shared" si="11"/>
        <v>5.5125000000000002</v>
      </c>
      <c r="G32" s="79">
        <f t="shared" si="12"/>
        <v>5.5125000000000002</v>
      </c>
      <c r="H32" s="102">
        <v>1</v>
      </c>
      <c r="I32" s="75">
        <v>0</v>
      </c>
      <c r="J32" s="75">
        <v>0</v>
      </c>
      <c r="K32" s="75">
        <v>0</v>
      </c>
      <c r="L32" s="75">
        <v>0</v>
      </c>
      <c r="M32" s="75">
        <v>0</v>
      </c>
      <c r="N32" s="75">
        <v>0</v>
      </c>
      <c r="O32" s="766">
        <v>0</v>
      </c>
      <c r="P32" s="79">
        <f t="shared" si="13"/>
        <v>1</v>
      </c>
    </row>
    <row r="33" spans="1:43" ht="15">
      <c r="A33" s="598"/>
      <c r="B33" s="309" t="s">
        <v>543</v>
      </c>
      <c r="C33" s="73">
        <f t="shared" si="4"/>
        <v>1</v>
      </c>
      <c r="D33" s="73">
        <v>2.15</v>
      </c>
      <c r="E33" s="73">
        <v>2.6</v>
      </c>
      <c r="F33" s="79">
        <f t="shared" ref="F33" si="14">E33*D33</f>
        <v>5.59</v>
      </c>
      <c r="G33" s="79">
        <f t="shared" ref="G33" si="15">F33*C33</f>
        <v>5.59</v>
      </c>
      <c r="H33" s="102">
        <v>1</v>
      </c>
      <c r="I33" s="75">
        <v>0</v>
      </c>
      <c r="J33" s="75">
        <v>0</v>
      </c>
      <c r="K33" s="75">
        <v>0</v>
      </c>
      <c r="L33" s="75">
        <v>0</v>
      </c>
      <c r="M33" s="75">
        <v>0</v>
      </c>
      <c r="N33" s="75">
        <v>0</v>
      </c>
      <c r="O33" s="766">
        <v>0</v>
      </c>
      <c r="P33" s="79">
        <f t="shared" ref="P33" si="16">SUM(H33:O33)</f>
        <v>1</v>
      </c>
    </row>
    <row r="34" spans="1:43" ht="15">
      <c r="A34" s="598"/>
      <c r="B34" s="309" t="s">
        <v>544</v>
      </c>
      <c r="C34" s="73">
        <f t="shared" si="4"/>
        <v>1</v>
      </c>
      <c r="D34" s="73">
        <v>2.335</v>
      </c>
      <c r="E34" s="73">
        <v>2.6</v>
      </c>
      <c r="F34" s="79">
        <f t="shared" si="11"/>
        <v>6.0709999999999997</v>
      </c>
      <c r="G34" s="79">
        <f t="shared" si="12"/>
        <v>6.0709999999999997</v>
      </c>
      <c r="H34" s="102">
        <v>1</v>
      </c>
      <c r="I34" s="75">
        <v>0</v>
      </c>
      <c r="J34" s="75">
        <v>0</v>
      </c>
      <c r="K34" s="75">
        <v>0</v>
      </c>
      <c r="L34" s="75">
        <v>0</v>
      </c>
      <c r="M34" s="75">
        <v>0</v>
      </c>
      <c r="N34" s="75">
        <v>0</v>
      </c>
      <c r="O34" s="766">
        <v>0</v>
      </c>
      <c r="P34" s="79">
        <f t="shared" si="13"/>
        <v>1</v>
      </c>
    </row>
    <row r="35" spans="1:43" ht="15.75" thickBot="1">
      <c r="B35" s="309"/>
      <c r="C35" s="73"/>
      <c r="D35" s="73"/>
      <c r="E35" s="73"/>
      <c r="F35" s="79"/>
      <c r="G35" s="79"/>
      <c r="N35" s="280"/>
      <c r="O35" s="316"/>
      <c r="P35" s="79"/>
    </row>
    <row r="36" spans="1:43" ht="15.75" thickBot="1">
      <c r="A36" s="65"/>
      <c r="B36" s="955" t="s">
        <v>545</v>
      </c>
      <c r="C36" s="956"/>
      <c r="D36" s="956"/>
      <c r="E36" s="956"/>
      <c r="F36" s="957"/>
      <c r="G36" s="77">
        <f>SUM(G22:G27)</f>
        <v>12.6</v>
      </c>
      <c r="H36" s="293"/>
      <c r="I36" s="208"/>
      <c r="J36" s="208"/>
      <c r="K36" s="312"/>
      <c r="L36" s="312"/>
      <c r="M36" s="312"/>
      <c r="N36" s="312"/>
      <c r="O36" s="317"/>
      <c r="P36" s="77"/>
    </row>
    <row r="37" spans="1:43" ht="15">
      <c r="H37" s="102"/>
      <c r="I37" s="102"/>
      <c r="J37" s="102"/>
    </row>
    <row r="38" spans="1:43" ht="15">
      <c r="H38" s="102"/>
      <c r="I38" s="102"/>
      <c r="J38" s="102"/>
    </row>
    <row r="39" spans="1:43" ht="15.75" thickBot="1">
      <c r="A39" s="59" t="s">
        <v>546</v>
      </c>
    </row>
    <row r="40" spans="1:43" s="56" customFormat="1" ht="15.75" thickBot="1">
      <c r="A40" s="286" t="s">
        <v>547</v>
      </c>
      <c r="B40" s="287">
        <f>D47-H59+J59</f>
        <v>208.24275000000003</v>
      </c>
      <c r="C40" s="282" t="s">
        <v>84</v>
      </c>
      <c r="D40" s="275"/>
      <c r="E40" s="127"/>
      <c r="F40" s="127"/>
      <c r="G40" s="276"/>
      <c r="H40" s="127"/>
      <c r="I40" s="127"/>
      <c r="J40" s="277"/>
    </row>
    <row r="41" spans="1:43" ht="13.5" thickBot="1"/>
    <row r="42" spans="1:43" ht="15.75" thickBot="1">
      <c r="A42" s="283" t="s">
        <v>382</v>
      </c>
      <c r="B42" s="284" t="s">
        <v>383</v>
      </c>
      <c r="C42" s="284" t="s">
        <v>385</v>
      </c>
      <c r="D42" s="285" t="s">
        <v>408</v>
      </c>
      <c r="J42" s="102"/>
    </row>
    <row r="43" spans="1:43" ht="15">
      <c r="A43" s="61"/>
      <c r="B43" s="82"/>
      <c r="C43" s="82"/>
      <c r="D43" s="82"/>
      <c r="J43" s="102"/>
    </row>
    <row r="44" spans="1:43" ht="15">
      <c r="A44" s="67" t="s">
        <v>548</v>
      </c>
      <c r="B44" s="78">
        <f>M50</f>
        <v>39.335000000000001</v>
      </c>
      <c r="C44" s="78">
        <v>4.1500000000000004</v>
      </c>
      <c r="D44" s="79">
        <f>C44*B44</f>
        <v>163.24025000000003</v>
      </c>
      <c r="E44" s="75" t="s">
        <v>549</v>
      </c>
      <c r="J44" s="102"/>
    </row>
    <row r="45" spans="1:43" ht="15">
      <c r="A45" s="67" t="s">
        <v>550</v>
      </c>
      <c r="B45" s="78">
        <f>M51</f>
        <v>24.259999999999998</v>
      </c>
      <c r="C45" s="78">
        <v>2</v>
      </c>
      <c r="D45" s="79">
        <f>C45*B45</f>
        <v>48.519999999999996</v>
      </c>
      <c r="J45" s="102"/>
    </row>
    <row r="46" spans="1:43" s="56" customFormat="1" ht="15.75" thickBot="1">
      <c r="A46" s="67"/>
      <c r="B46" s="78"/>
      <c r="C46" s="78"/>
      <c r="D46" s="79"/>
      <c r="E46" s="8"/>
      <c r="F46" s="8"/>
      <c r="G46" s="8"/>
      <c r="H46" s="8"/>
      <c r="I46" s="8"/>
      <c r="J46" s="127"/>
      <c r="K46" s="127"/>
      <c r="L46" s="127"/>
      <c r="M46" s="127"/>
      <c r="N46" s="127"/>
      <c r="O46" s="127"/>
      <c r="P46" s="127"/>
      <c r="Q46" s="127"/>
      <c r="R46" s="127"/>
      <c r="S46" s="127"/>
      <c r="T46" s="127"/>
      <c r="U46" s="127"/>
      <c r="V46" s="127"/>
      <c r="W46" s="127"/>
      <c r="X46" s="127"/>
      <c r="Y46" s="127"/>
      <c r="Z46" s="127"/>
      <c r="AA46" s="127"/>
      <c r="AB46" s="127"/>
      <c r="AC46" s="127"/>
      <c r="AD46" s="127"/>
      <c r="AE46" s="127"/>
      <c r="AF46" s="127"/>
      <c r="AG46" s="276"/>
      <c r="AH46" s="127"/>
      <c r="AI46" s="127"/>
      <c r="AJ46" s="127"/>
      <c r="AK46" s="127"/>
      <c r="AL46" s="127"/>
      <c r="AM46" s="127"/>
      <c r="AN46" s="127"/>
      <c r="AO46" s="127"/>
      <c r="AP46" s="127"/>
      <c r="AQ46" s="276"/>
    </row>
    <row r="47" spans="1:43" ht="15.75" thickBot="1">
      <c r="A47" s="958" t="s">
        <v>393</v>
      </c>
      <c r="B47" s="959"/>
      <c r="C47" s="960"/>
      <c r="D47" s="77">
        <f>SUM(D43:D46)</f>
        <v>211.76025000000004</v>
      </c>
    </row>
    <row r="49" spans="1:43" ht="15.75" thickBot="1">
      <c r="A49" s="59" t="s">
        <v>551</v>
      </c>
    </row>
    <row r="50" spans="1:43" ht="15.75" thickBot="1">
      <c r="A50" s="764" t="str">
        <f>A44</f>
        <v>Outer Wall - Full</v>
      </c>
      <c r="B50" s="765">
        <v>30.673999999999999</v>
      </c>
      <c r="C50" s="765">
        <v>8.6609999999999996</v>
      </c>
      <c r="D50" s="765">
        <v>0</v>
      </c>
      <c r="E50" s="765">
        <v>0</v>
      </c>
      <c r="F50" s="765">
        <v>0</v>
      </c>
      <c r="G50" s="765">
        <v>0</v>
      </c>
      <c r="H50" s="765">
        <v>0</v>
      </c>
      <c r="I50" s="765">
        <v>0</v>
      </c>
      <c r="J50" s="765">
        <v>0</v>
      </c>
      <c r="K50" s="765">
        <v>0</v>
      </c>
      <c r="L50" s="765">
        <v>0</v>
      </c>
      <c r="M50" s="282">
        <f>SUM(B50:L50)</f>
        <v>39.335000000000001</v>
      </c>
    </row>
    <row r="51" spans="1:43" ht="15.75" thickBot="1">
      <c r="A51" s="764" t="str">
        <f>A45</f>
        <v>Outer wal - 1.2M HT</v>
      </c>
      <c r="B51" s="765">
        <v>2.145</v>
      </c>
      <c r="C51" s="765">
        <v>2.145</v>
      </c>
      <c r="D51" s="765">
        <v>0.5</v>
      </c>
      <c r="E51" s="765">
        <v>0.5</v>
      </c>
      <c r="F51" s="765">
        <v>1.7749999999999999</v>
      </c>
      <c r="G51" s="765">
        <v>1.7749999999999999</v>
      </c>
      <c r="H51" s="765">
        <v>0.5</v>
      </c>
      <c r="I51" s="765">
        <f>2*(7.46)</f>
        <v>14.92</v>
      </c>
      <c r="J51" s="765">
        <v>0</v>
      </c>
      <c r="K51" s="765">
        <v>0</v>
      </c>
      <c r="L51" s="765">
        <v>0</v>
      </c>
      <c r="M51" s="282">
        <f>SUM(B51:L51)</f>
        <v>24.259999999999998</v>
      </c>
    </row>
    <row r="53" spans="1:43" ht="15.75" thickBot="1">
      <c r="A53" s="59" t="s">
        <v>552</v>
      </c>
    </row>
    <row r="54" spans="1:43" ht="15.75" customHeight="1" thickBot="1">
      <c r="A54" s="288" t="s">
        <v>382</v>
      </c>
      <c r="B54" s="289" t="s">
        <v>82</v>
      </c>
      <c r="C54" s="289" t="s">
        <v>291</v>
      </c>
      <c r="D54" s="289" t="s">
        <v>383</v>
      </c>
      <c r="E54" s="289" t="s">
        <v>384</v>
      </c>
      <c r="F54" s="289" t="s">
        <v>409</v>
      </c>
      <c r="G54" s="290" t="s">
        <v>532</v>
      </c>
      <c r="H54" s="291" t="s">
        <v>553</v>
      </c>
      <c r="I54" s="291" t="s">
        <v>554</v>
      </c>
      <c r="J54" s="292" t="s">
        <v>555</v>
      </c>
    </row>
    <row r="55" spans="1:43">
      <c r="A55" s="61"/>
      <c r="B55" s="61"/>
      <c r="C55" s="61"/>
      <c r="D55" s="61"/>
      <c r="E55" s="61"/>
      <c r="F55" s="294"/>
      <c r="G55" s="295"/>
      <c r="H55" s="63"/>
      <c r="I55" s="63"/>
      <c r="J55" s="63"/>
    </row>
    <row r="56" spans="1:43" ht="15">
      <c r="A56" s="62" t="s">
        <v>534</v>
      </c>
      <c r="B56" s="72" t="str">
        <f>B23</f>
        <v>W04</v>
      </c>
      <c r="C56" s="72">
        <f t="shared" ref="C56:E56" si="17">C23</f>
        <v>1</v>
      </c>
      <c r="D56" s="72">
        <f t="shared" si="17"/>
        <v>0.9</v>
      </c>
      <c r="E56" s="72">
        <f t="shared" si="17"/>
        <v>1.5</v>
      </c>
      <c r="F56" s="93">
        <f>E56*D56</f>
        <v>1.35</v>
      </c>
      <c r="G56" s="93">
        <f>F56*C56</f>
        <v>1.35</v>
      </c>
      <c r="H56" s="78">
        <f>G56</f>
        <v>1.35</v>
      </c>
      <c r="I56" s="78">
        <f>G56</f>
        <v>1.35</v>
      </c>
      <c r="J56" s="78">
        <f>(D56+E56+D56+E56)*C56*0.15</f>
        <v>0.72</v>
      </c>
    </row>
    <row r="57" spans="1:43" s="56" customFormat="1" ht="15">
      <c r="A57" s="63"/>
      <c r="B57" s="72" t="str">
        <f t="shared" ref="B57:E57" si="18">B24</f>
        <v>W02</v>
      </c>
      <c r="C57" s="72">
        <f t="shared" si="18"/>
        <v>1</v>
      </c>
      <c r="D57" s="72">
        <f t="shared" si="18"/>
        <v>1.8</v>
      </c>
      <c r="E57" s="72">
        <f t="shared" si="18"/>
        <v>1.5</v>
      </c>
      <c r="F57" s="93">
        <f t="shared" ref="F57" si="19">E57*D57</f>
        <v>2.7</v>
      </c>
      <c r="G57" s="93">
        <f t="shared" ref="G57" si="20">F57*C57</f>
        <v>2.7</v>
      </c>
      <c r="H57" s="78">
        <f t="shared" ref="H57" si="21">G57</f>
        <v>2.7</v>
      </c>
      <c r="I57" s="78">
        <f t="shared" ref="I57" si="22">G57</f>
        <v>2.7</v>
      </c>
      <c r="J57" s="78">
        <f t="shared" ref="J57" si="23">(D57+E57+D57+E57)*C57*0.15</f>
        <v>0.98999999999999988</v>
      </c>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276"/>
      <c r="AH57" s="127"/>
      <c r="AI57" s="127"/>
      <c r="AJ57" s="127"/>
      <c r="AK57" s="127"/>
      <c r="AL57" s="127"/>
      <c r="AM57" s="127"/>
      <c r="AN57" s="127"/>
      <c r="AO57" s="127"/>
      <c r="AP57" s="127"/>
      <c r="AQ57" s="276"/>
    </row>
    <row r="58" spans="1:43" s="56" customFormat="1" ht="15.75" thickBot="1">
      <c r="A58" s="63"/>
      <c r="B58" s="72" t="str">
        <f t="shared" ref="B58:E58" si="24">B25</f>
        <v>D02</v>
      </c>
      <c r="C58" s="72">
        <f t="shared" si="24"/>
        <v>1</v>
      </c>
      <c r="D58" s="72">
        <f t="shared" si="24"/>
        <v>0.95</v>
      </c>
      <c r="E58" s="72">
        <f t="shared" si="24"/>
        <v>2.25</v>
      </c>
      <c r="F58" s="93">
        <f t="shared" ref="F58" si="25">E58*D58</f>
        <v>2.1374999999999997</v>
      </c>
      <c r="G58" s="93">
        <f t="shared" ref="G58" si="26">F58*C58</f>
        <v>2.1374999999999997</v>
      </c>
      <c r="H58" s="78">
        <f t="shared" ref="H58" si="27">G58</f>
        <v>2.1374999999999997</v>
      </c>
      <c r="I58" s="78">
        <f t="shared" ref="I58" si="28">G58</f>
        <v>2.1374999999999997</v>
      </c>
      <c r="J58" s="78">
        <f t="shared" ref="J58" si="29">(D58+E58+D58+E58)*C58*0.15</f>
        <v>0.96</v>
      </c>
      <c r="K58" s="127"/>
      <c r="L58" s="127"/>
      <c r="M58" s="127"/>
      <c r="N58" s="127"/>
      <c r="O58" s="127"/>
      <c r="P58" s="127"/>
      <c r="Q58" s="127"/>
      <c r="R58" s="127"/>
      <c r="S58" s="127"/>
      <c r="T58" s="127"/>
      <c r="U58" s="127"/>
      <c r="V58" s="127"/>
      <c r="W58" s="127"/>
      <c r="X58" s="127"/>
      <c r="Y58" s="127"/>
      <c r="Z58" s="127"/>
      <c r="AA58" s="127"/>
      <c r="AB58" s="127"/>
      <c r="AC58" s="127"/>
      <c r="AD58" s="127"/>
      <c r="AE58" s="127"/>
      <c r="AF58" s="127"/>
      <c r="AG58" s="276"/>
      <c r="AH58" s="127"/>
      <c r="AI58" s="127"/>
      <c r="AJ58" s="127"/>
      <c r="AK58" s="127"/>
      <c r="AL58" s="127"/>
      <c r="AM58" s="127"/>
      <c r="AN58" s="127"/>
      <c r="AO58" s="127"/>
      <c r="AP58" s="127"/>
      <c r="AQ58" s="276"/>
    </row>
    <row r="59" spans="1:43" ht="15.75" thickBot="1">
      <c r="A59" s="65"/>
      <c r="B59" s="955" t="s">
        <v>545</v>
      </c>
      <c r="C59" s="956"/>
      <c r="D59" s="956"/>
      <c r="E59" s="956"/>
      <c r="F59" s="957"/>
      <c r="G59" s="293">
        <f>SUM(G55:G58)</f>
        <v>6.1875</v>
      </c>
      <c r="H59" s="293">
        <f>SUM(H55:H58)</f>
        <v>6.1875</v>
      </c>
      <c r="I59" s="293">
        <f>SUM(I55:I58)</f>
        <v>6.1875</v>
      </c>
      <c r="J59" s="77">
        <f>SUM(J55:J58)</f>
        <v>2.67</v>
      </c>
      <c r="K59" s="75"/>
      <c r="L59" s="75"/>
    </row>
    <row r="60" spans="1:43" ht="15">
      <c r="A60" s="63"/>
      <c r="B60" s="72"/>
      <c r="C60" s="73"/>
      <c r="D60" s="73"/>
      <c r="E60" s="73"/>
      <c r="F60" s="93"/>
      <c r="G60" s="296"/>
      <c r="H60" s="78"/>
      <c r="I60" s="78"/>
      <c r="J60" s="78"/>
    </row>
    <row r="61" spans="1:43" s="56" customFormat="1" ht="15">
      <c r="A61" s="62" t="s">
        <v>538</v>
      </c>
      <c r="B61" s="72" t="str">
        <f>B27</f>
        <v>D03</v>
      </c>
      <c r="C61" s="72">
        <f t="shared" ref="C61:E61" si="30">C27</f>
        <v>3</v>
      </c>
      <c r="D61" s="72">
        <f t="shared" si="30"/>
        <v>0.95</v>
      </c>
      <c r="E61" s="72">
        <f t="shared" si="30"/>
        <v>2.25</v>
      </c>
      <c r="F61" s="93">
        <f t="shared" ref="F61" si="31">E61*D61</f>
        <v>2.1374999999999997</v>
      </c>
      <c r="G61" s="93">
        <f t="shared" ref="G61" si="32">F61*C61</f>
        <v>6.4124999999999996</v>
      </c>
      <c r="H61" s="78">
        <f>G61</f>
        <v>6.4124999999999996</v>
      </c>
      <c r="I61" s="78">
        <f>G61</f>
        <v>6.4124999999999996</v>
      </c>
      <c r="J61" s="78">
        <f>(D61+E61+D61+E61)*C61*0.15</f>
        <v>2.8800000000000003</v>
      </c>
      <c r="K61" s="277"/>
      <c r="L61" s="277"/>
    </row>
    <row r="62" spans="1:43" s="56" customFormat="1" ht="15">
      <c r="A62" s="62"/>
      <c r="B62" s="72" t="str">
        <f t="shared" ref="B62:E62" si="33">B28</f>
        <v>W02</v>
      </c>
      <c r="C62" s="72">
        <f t="shared" si="33"/>
        <v>1</v>
      </c>
      <c r="D62" s="72">
        <f t="shared" si="33"/>
        <v>1.8</v>
      </c>
      <c r="E62" s="72">
        <f t="shared" si="33"/>
        <v>1.5</v>
      </c>
      <c r="F62" s="93">
        <f t="shared" ref="F62:F68" si="34">E62*D62</f>
        <v>2.7</v>
      </c>
      <c r="G62" s="93">
        <f t="shared" ref="G62:G68" si="35">F62*C62</f>
        <v>2.7</v>
      </c>
      <c r="H62" s="78">
        <f t="shared" ref="H62:H68" si="36">G62</f>
        <v>2.7</v>
      </c>
      <c r="I62" s="78">
        <f t="shared" ref="I62:I68" si="37">G62</f>
        <v>2.7</v>
      </c>
      <c r="J62" s="78">
        <f t="shared" ref="J62:J68" si="38">(D62+E62+D62+E62)*C62*0.15</f>
        <v>0.98999999999999988</v>
      </c>
      <c r="K62" s="277"/>
      <c r="L62" s="277"/>
    </row>
    <row r="63" spans="1:43" s="56" customFormat="1" ht="15">
      <c r="A63" s="62"/>
      <c r="B63" s="72" t="str">
        <f t="shared" ref="B63:E63" si="39">B29</f>
        <v>W04</v>
      </c>
      <c r="C63" s="72">
        <f t="shared" si="39"/>
        <v>1</v>
      </c>
      <c r="D63" s="72">
        <f t="shared" si="39"/>
        <v>0.9</v>
      </c>
      <c r="E63" s="72">
        <f t="shared" si="39"/>
        <v>1.5</v>
      </c>
      <c r="F63" s="93">
        <f t="shared" si="34"/>
        <v>1.35</v>
      </c>
      <c r="G63" s="93">
        <f t="shared" si="35"/>
        <v>1.35</v>
      </c>
      <c r="H63" s="78">
        <f t="shared" si="36"/>
        <v>1.35</v>
      </c>
      <c r="I63" s="78">
        <f t="shared" si="37"/>
        <v>1.35</v>
      </c>
      <c r="J63" s="78">
        <f t="shared" si="38"/>
        <v>0.72</v>
      </c>
      <c r="K63" s="277"/>
      <c r="L63" s="277"/>
    </row>
    <row r="64" spans="1:43" s="56" customFormat="1" ht="15">
      <c r="A64" s="62"/>
      <c r="B64" s="72" t="str">
        <f t="shared" ref="B64:E64" si="40">B30</f>
        <v>W01</v>
      </c>
      <c r="C64" s="72">
        <f t="shared" si="40"/>
        <v>1</v>
      </c>
      <c r="D64" s="72">
        <f t="shared" si="40"/>
        <v>1.5169999999999999</v>
      </c>
      <c r="E64" s="72">
        <f t="shared" si="40"/>
        <v>1.5</v>
      </c>
      <c r="F64" s="93">
        <f t="shared" si="34"/>
        <v>2.2755000000000001</v>
      </c>
      <c r="G64" s="93">
        <f t="shared" si="35"/>
        <v>2.2755000000000001</v>
      </c>
      <c r="H64" s="78">
        <f t="shared" si="36"/>
        <v>2.2755000000000001</v>
      </c>
      <c r="I64" s="78">
        <f t="shared" si="37"/>
        <v>2.2755000000000001</v>
      </c>
      <c r="J64" s="78">
        <f t="shared" si="38"/>
        <v>0.9050999999999999</v>
      </c>
      <c r="K64" s="277"/>
      <c r="L64" s="277"/>
    </row>
    <row r="65" spans="1:43" s="56" customFormat="1" ht="15">
      <c r="A65" s="62"/>
      <c r="B65" s="72" t="str">
        <f t="shared" ref="B65:E65" si="41">B31</f>
        <v>D01</v>
      </c>
      <c r="C65" s="72">
        <f t="shared" si="41"/>
        <v>1</v>
      </c>
      <c r="D65" s="72">
        <f t="shared" si="41"/>
        <v>1.7</v>
      </c>
      <c r="E65" s="72">
        <f t="shared" si="41"/>
        <v>2.4500000000000002</v>
      </c>
      <c r="F65" s="93">
        <f t="shared" si="34"/>
        <v>4.165</v>
      </c>
      <c r="G65" s="93">
        <f t="shared" si="35"/>
        <v>4.165</v>
      </c>
      <c r="H65" s="78">
        <f t="shared" si="36"/>
        <v>4.165</v>
      </c>
      <c r="I65" s="78">
        <f t="shared" si="37"/>
        <v>4.165</v>
      </c>
      <c r="J65" s="78">
        <f t="shared" si="38"/>
        <v>1.2450000000000001</v>
      </c>
      <c r="K65" s="277"/>
      <c r="L65" s="277"/>
    </row>
    <row r="66" spans="1:43" s="56" customFormat="1" ht="15">
      <c r="A66" s="62"/>
      <c r="B66" s="72" t="str">
        <f t="shared" ref="B66:E66" si="42">B32</f>
        <v>PD01</v>
      </c>
      <c r="C66" s="72">
        <f t="shared" si="42"/>
        <v>1</v>
      </c>
      <c r="D66" s="72">
        <f t="shared" si="42"/>
        <v>2.4500000000000002</v>
      </c>
      <c r="E66" s="72">
        <f t="shared" si="42"/>
        <v>2.25</v>
      </c>
      <c r="F66" s="93">
        <f t="shared" si="34"/>
        <v>5.5125000000000002</v>
      </c>
      <c r="G66" s="93">
        <f t="shared" si="35"/>
        <v>5.5125000000000002</v>
      </c>
      <c r="H66" s="78">
        <f t="shared" si="36"/>
        <v>5.5125000000000002</v>
      </c>
      <c r="I66" s="78">
        <f t="shared" si="37"/>
        <v>5.5125000000000002</v>
      </c>
      <c r="J66" s="78">
        <f t="shared" si="38"/>
        <v>1.41</v>
      </c>
      <c r="K66" s="277"/>
      <c r="L66" s="277"/>
    </row>
    <row r="67" spans="1:43" s="56" customFormat="1" ht="15">
      <c r="A67" s="62"/>
      <c r="B67" s="72" t="str">
        <f t="shared" ref="B67:E67" si="43">B33</f>
        <v>SD01</v>
      </c>
      <c r="C67" s="72">
        <f t="shared" si="43"/>
        <v>1</v>
      </c>
      <c r="D67" s="72">
        <f t="shared" si="43"/>
        <v>2.15</v>
      </c>
      <c r="E67" s="72">
        <f t="shared" si="43"/>
        <v>2.6</v>
      </c>
      <c r="F67" s="93">
        <f t="shared" si="34"/>
        <v>5.59</v>
      </c>
      <c r="G67" s="93">
        <f t="shared" si="35"/>
        <v>5.59</v>
      </c>
      <c r="H67" s="78">
        <f t="shared" si="36"/>
        <v>5.59</v>
      </c>
      <c r="I67" s="78">
        <f t="shared" si="37"/>
        <v>5.59</v>
      </c>
      <c r="J67" s="78">
        <f t="shared" si="38"/>
        <v>1.425</v>
      </c>
      <c r="K67" s="277"/>
      <c r="L67" s="277"/>
    </row>
    <row r="68" spans="1:43" s="56" customFormat="1" ht="15">
      <c r="A68" s="62"/>
      <c r="B68" s="72" t="str">
        <f t="shared" ref="B68:E68" si="44">B34</f>
        <v>SD02</v>
      </c>
      <c r="C68" s="72">
        <f t="shared" si="44"/>
        <v>1</v>
      </c>
      <c r="D68" s="72">
        <f t="shared" si="44"/>
        <v>2.335</v>
      </c>
      <c r="E68" s="72">
        <f t="shared" si="44"/>
        <v>2.6</v>
      </c>
      <c r="F68" s="93">
        <f t="shared" si="34"/>
        <v>6.0709999999999997</v>
      </c>
      <c r="G68" s="93">
        <f t="shared" si="35"/>
        <v>6.0709999999999997</v>
      </c>
      <c r="H68" s="78">
        <f t="shared" si="36"/>
        <v>6.0709999999999997</v>
      </c>
      <c r="I68" s="78">
        <f t="shared" si="37"/>
        <v>6.0709999999999997</v>
      </c>
      <c r="J68" s="78">
        <f t="shared" si="38"/>
        <v>1.4805000000000001</v>
      </c>
      <c r="K68" s="277"/>
      <c r="L68" s="277"/>
    </row>
    <row r="69" spans="1:43" ht="15.75" thickBot="1">
      <c r="A69" s="63"/>
      <c r="B69" s="72"/>
      <c r="C69" s="73"/>
      <c r="D69" s="73"/>
      <c r="E69" s="73"/>
      <c r="F69" s="93"/>
      <c r="G69" s="296"/>
      <c r="H69" s="78"/>
      <c r="I69" s="78"/>
      <c r="J69" s="78"/>
      <c r="K69" s="75"/>
      <c r="L69" s="75"/>
    </row>
    <row r="70" spans="1:43" ht="15.75" thickBot="1">
      <c r="A70" s="65"/>
      <c r="B70" s="955" t="s">
        <v>545</v>
      </c>
      <c r="C70" s="956"/>
      <c r="D70" s="956"/>
      <c r="E70" s="956"/>
      <c r="F70" s="957"/>
      <c r="G70" s="293">
        <f>SUM(G60:G69)</f>
        <v>34.076499999999996</v>
      </c>
      <c r="H70" s="293">
        <f>SUM(H60:H69)</f>
        <v>34.076499999999996</v>
      </c>
      <c r="I70" s="293">
        <f>SUM(I60:I69)</f>
        <v>34.076499999999996</v>
      </c>
      <c r="J70" s="77">
        <f>SUM(J60:J69)</f>
        <v>11.055600000000002</v>
      </c>
      <c r="K70" s="75"/>
      <c r="L70" s="75"/>
    </row>
    <row r="71" spans="1:43">
      <c r="J71" s="75"/>
      <c r="K71" s="75"/>
      <c r="L71" s="75"/>
    </row>
    <row r="72" spans="1:43" ht="15.75" thickBot="1">
      <c r="A72" s="59" t="s">
        <v>556</v>
      </c>
      <c r="J72" s="75"/>
      <c r="K72" s="75"/>
      <c r="L72" s="75"/>
    </row>
    <row r="73" spans="1:43" ht="15.75" thickBot="1">
      <c r="A73" s="286" t="s">
        <v>557</v>
      </c>
      <c r="B73" s="297">
        <f>D79-I59-H70-I70+J70</f>
        <v>252.44687999999999</v>
      </c>
      <c r="C73" s="282" t="s">
        <v>84</v>
      </c>
      <c r="D73" s="127"/>
      <c r="E73" s="127"/>
      <c r="F73" s="127"/>
      <c r="G73" s="276"/>
      <c r="H73" s="127"/>
      <c r="I73" s="127"/>
      <c r="J73" s="75"/>
      <c r="K73" s="75"/>
      <c r="L73" s="75"/>
    </row>
    <row r="74" spans="1:43" ht="13.5" thickBot="1">
      <c r="J74" s="75"/>
      <c r="K74" s="75"/>
      <c r="L74" s="75"/>
    </row>
    <row r="75" spans="1:43" ht="13.5" thickBot="1">
      <c r="A75" s="283" t="s">
        <v>382</v>
      </c>
      <c r="B75" s="284" t="s">
        <v>383</v>
      </c>
      <c r="C75" s="284" t="s">
        <v>385</v>
      </c>
      <c r="D75" s="285" t="s">
        <v>408</v>
      </c>
      <c r="J75" s="75"/>
      <c r="K75" s="75"/>
      <c r="L75" s="75"/>
    </row>
    <row r="76" spans="1:43">
      <c r="A76" s="61"/>
      <c r="B76" s="82"/>
      <c r="C76" s="82"/>
      <c r="D76" s="82"/>
      <c r="J76" s="75"/>
      <c r="K76" s="75"/>
    </row>
    <row r="77" spans="1:43" ht="15">
      <c r="A77" s="67" t="s">
        <v>558</v>
      </c>
      <c r="B77" s="78">
        <f>P82</f>
        <v>103.012</v>
      </c>
      <c r="C77" s="78">
        <v>3.0649999999999999</v>
      </c>
      <c r="D77" s="79">
        <f>C77*B77</f>
        <v>315.73178000000001</v>
      </c>
      <c r="J77" s="102"/>
    </row>
    <row r="78" spans="1:43" ht="13.5" thickBot="1">
      <c r="A78" s="65"/>
      <c r="B78" s="80"/>
      <c r="C78" s="80"/>
      <c r="D78" s="80"/>
    </row>
    <row r="79" spans="1:43" s="56" customFormat="1" ht="15.75" thickBot="1">
      <c r="A79" s="958" t="s">
        <v>393</v>
      </c>
      <c r="B79" s="959"/>
      <c r="C79" s="960"/>
      <c r="D79" s="77">
        <f>SUM(D75:D78)</f>
        <v>315.73178000000001</v>
      </c>
      <c r="E79" s="8"/>
      <c r="F79" s="8"/>
      <c r="G79" s="8"/>
      <c r="H79" s="8"/>
      <c r="I79" s="8"/>
      <c r="J79" s="127"/>
      <c r="K79" s="127"/>
      <c r="L79" s="127"/>
      <c r="M79" s="127"/>
      <c r="N79" s="127"/>
      <c r="O79" s="127"/>
      <c r="P79" s="127"/>
      <c r="Q79" s="127"/>
      <c r="R79" s="127"/>
      <c r="S79" s="127"/>
      <c r="T79" s="127"/>
      <c r="U79" s="127"/>
      <c r="V79" s="127"/>
      <c r="W79" s="127"/>
      <c r="X79" s="127"/>
      <c r="Y79" s="127"/>
      <c r="Z79" s="127"/>
      <c r="AA79" s="127"/>
      <c r="AB79" s="127"/>
      <c r="AC79" s="127"/>
      <c r="AD79" s="127"/>
      <c r="AE79" s="127"/>
      <c r="AF79" s="127"/>
      <c r="AG79" s="276"/>
      <c r="AH79" s="127"/>
      <c r="AI79" s="127"/>
      <c r="AJ79" s="127"/>
      <c r="AK79" s="127"/>
      <c r="AL79" s="127"/>
      <c r="AM79" s="127"/>
      <c r="AN79" s="127"/>
      <c r="AO79" s="127"/>
      <c r="AP79" s="127"/>
      <c r="AQ79" s="276"/>
    </row>
    <row r="81" spans="1:25" ht="15.75" thickBot="1">
      <c r="A81" s="59" t="s">
        <v>551</v>
      </c>
    </row>
    <row r="82" spans="1:25" ht="15.75" thickBot="1">
      <c r="A82" s="764" t="str">
        <f>A77</f>
        <v>Internal Wall</v>
      </c>
      <c r="B82" s="765">
        <v>15.455</v>
      </c>
      <c r="C82" s="765">
        <v>16.149999999999999</v>
      </c>
      <c r="D82" s="765">
        <v>23.6</v>
      </c>
      <c r="E82" s="765">
        <v>16.414999999999999</v>
      </c>
      <c r="F82" s="765">
        <v>6.202</v>
      </c>
      <c r="G82" s="765">
        <v>9.6839999999999993</v>
      </c>
      <c r="H82" s="765">
        <v>9.84</v>
      </c>
      <c r="I82" s="765">
        <v>5.6660000000000004</v>
      </c>
      <c r="J82" s="765">
        <v>0</v>
      </c>
      <c r="K82" s="765">
        <v>0</v>
      </c>
      <c r="L82" s="765">
        <v>0</v>
      </c>
      <c r="M82" s="765">
        <v>0</v>
      </c>
      <c r="N82" s="765">
        <v>0</v>
      </c>
      <c r="O82" s="765">
        <v>0</v>
      </c>
      <c r="P82" s="77">
        <f>SUM(B82:O82)</f>
        <v>103.012</v>
      </c>
    </row>
    <row r="83" spans="1:25" ht="15">
      <c r="J83" s="102"/>
    </row>
    <row r="84" spans="1:25" ht="15.75" thickBot="1">
      <c r="A84" s="59" t="s">
        <v>559</v>
      </c>
      <c r="J84" s="102"/>
      <c r="K84" s="75"/>
    </row>
    <row r="85" spans="1:25" ht="15.75" thickBot="1">
      <c r="A85" s="764" t="s">
        <v>560</v>
      </c>
      <c r="B85" s="767">
        <f>Y89</f>
        <v>121.785</v>
      </c>
      <c r="C85" s="599" t="s">
        <v>84</v>
      </c>
      <c r="D85" s="275"/>
      <c r="E85" s="127"/>
      <c r="F85" s="127"/>
      <c r="G85" s="276"/>
      <c r="H85" s="127"/>
      <c r="I85" s="127"/>
      <c r="J85" s="102"/>
    </row>
    <row r="86" spans="1:25" ht="15.75" thickBot="1">
      <c r="A86" s="764" t="s">
        <v>561</v>
      </c>
      <c r="B86" s="767">
        <f>Y90</f>
        <v>11</v>
      </c>
      <c r="C86" s="599" t="s">
        <v>84</v>
      </c>
      <c r="D86" s="275"/>
      <c r="E86" s="127"/>
      <c r="F86" s="127"/>
      <c r="G86" s="276"/>
      <c r="H86" s="127"/>
      <c r="I86" s="127"/>
      <c r="J86" s="102"/>
    </row>
    <row r="87" spans="1:25" ht="15">
      <c r="J87" s="102"/>
    </row>
    <row r="88" spans="1:25" ht="15.75" thickBot="1">
      <c r="A88" s="59" t="s">
        <v>562</v>
      </c>
      <c r="J88" s="102"/>
    </row>
    <row r="89" spans="1:25" ht="15.75" thickBot="1">
      <c r="A89" s="764" t="s">
        <v>562</v>
      </c>
      <c r="B89" s="765">
        <v>17.350000000000001</v>
      </c>
      <c r="C89" s="765">
        <v>16.11</v>
      </c>
      <c r="D89" s="765">
        <v>25.8</v>
      </c>
      <c r="E89" s="765">
        <v>3.58</v>
      </c>
      <c r="F89" s="765">
        <v>16.829999999999998</v>
      </c>
      <c r="G89" s="91">
        <v>9.3000000000000007</v>
      </c>
      <c r="H89" s="765">
        <v>2.1930000000000001</v>
      </c>
      <c r="I89" s="765">
        <v>28.5</v>
      </c>
      <c r="J89" s="91">
        <v>2.1219999999999999</v>
      </c>
      <c r="K89" s="765">
        <v>0</v>
      </c>
      <c r="L89" s="765">
        <v>0</v>
      </c>
      <c r="M89" s="91">
        <v>0</v>
      </c>
      <c r="N89" s="765">
        <v>0</v>
      </c>
      <c r="O89" s="765">
        <v>0</v>
      </c>
      <c r="P89" s="91">
        <v>0</v>
      </c>
      <c r="Q89" s="765">
        <v>0</v>
      </c>
      <c r="R89" s="765">
        <v>0</v>
      </c>
      <c r="S89" s="91">
        <v>0</v>
      </c>
      <c r="T89" s="765">
        <v>0</v>
      </c>
      <c r="U89" s="765">
        <v>0</v>
      </c>
      <c r="V89" s="91">
        <v>0</v>
      </c>
      <c r="W89" s="765">
        <v>0</v>
      </c>
      <c r="X89" s="765">
        <v>0</v>
      </c>
      <c r="Y89" s="77">
        <f>SUM(B89:X89)</f>
        <v>121.785</v>
      </c>
    </row>
    <row r="90" spans="1:25" ht="15.75" thickBot="1">
      <c r="A90" s="764" t="str">
        <f>A86</f>
        <v>Stair screeding</v>
      </c>
      <c r="B90" s="765">
        <v>5.5</v>
      </c>
      <c r="C90" s="765">
        <v>5.5</v>
      </c>
      <c r="D90" s="765">
        <v>0</v>
      </c>
      <c r="E90" s="765">
        <v>0</v>
      </c>
      <c r="F90" s="765">
        <v>0</v>
      </c>
      <c r="G90" s="91">
        <v>0</v>
      </c>
      <c r="H90" s="765">
        <v>0</v>
      </c>
      <c r="I90" s="765">
        <v>0</v>
      </c>
      <c r="J90" s="91">
        <v>0</v>
      </c>
      <c r="K90" s="765">
        <v>0</v>
      </c>
      <c r="L90" s="765">
        <v>0</v>
      </c>
      <c r="M90" s="91">
        <v>0</v>
      </c>
      <c r="N90" s="765">
        <v>0</v>
      </c>
      <c r="O90" s="765">
        <v>0</v>
      </c>
      <c r="P90" s="91">
        <v>0</v>
      </c>
      <c r="Q90" s="765">
        <v>0</v>
      </c>
      <c r="R90" s="765">
        <v>0</v>
      </c>
      <c r="S90" s="91">
        <v>0</v>
      </c>
      <c r="T90" s="765">
        <v>0</v>
      </c>
      <c r="U90" s="765">
        <v>0</v>
      </c>
      <c r="V90" s="91">
        <v>0</v>
      </c>
      <c r="W90" s="765">
        <v>0</v>
      </c>
      <c r="X90" s="765">
        <v>0</v>
      </c>
      <c r="Y90" s="77">
        <f>SUM(B90:X90)</f>
        <v>11</v>
      </c>
    </row>
    <row r="92" spans="1:25" ht="15.75" thickBot="1">
      <c r="A92" s="59" t="s">
        <v>563</v>
      </c>
    </row>
    <row r="93" spans="1:25" ht="15.75" thickBot="1">
      <c r="A93" s="326" t="s">
        <v>564</v>
      </c>
      <c r="B93" s="297">
        <f>B40</f>
        <v>208.24275000000003</v>
      </c>
      <c r="C93" s="599" t="s">
        <v>84</v>
      </c>
    </row>
    <row r="94" spans="1:25" ht="15.75" thickBot="1">
      <c r="A94" s="326" t="s">
        <v>565</v>
      </c>
      <c r="B94" s="297">
        <f>B73</f>
        <v>252.44687999999999</v>
      </c>
      <c r="C94" s="599" t="s">
        <v>84</v>
      </c>
    </row>
    <row r="95" spans="1:25" ht="15.75" thickBot="1">
      <c r="A95" s="326" t="s">
        <v>566</v>
      </c>
      <c r="B95" s="297">
        <f>Y98</f>
        <v>121.87</v>
      </c>
      <c r="C95" s="599" t="s">
        <v>84</v>
      </c>
    </row>
    <row r="97" spans="1:43" ht="15.75" thickBot="1">
      <c r="A97" s="59" t="s">
        <v>566</v>
      </c>
      <c r="J97" s="102"/>
    </row>
    <row r="98" spans="1:43" ht="15.75" thickBot="1">
      <c r="A98" s="764" t="str">
        <f>A95</f>
        <v>Ceiling Paiting</v>
      </c>
      <c r="B98" s="765">
        <v>17.399999999999999</v>
      </c>
      <c r="C98" s="765">
        <v>16.11</v>
      </c>
      <c r="D98" s="765">
        <v>25.8</v>
      </c>
      <c r="E98" s="765">
        <v>3.59</v>
      </c>
      <c r="F98" s="765">
        <v>16.829999999999998</v>
      </c>
      <c r="G98" s="91">
        <v>9.3000000000000007</v>
      </c>
      <c r="H98" s="765">
        <v>2.2000000000000002</v>
      </c>
      <c r="I98" s="765">
        <v>28.52</v>
      </c>
      <c r="J98" s="91">
        <v>2.12</v>
      </c>
      <c r="K98" s="765">
        <v>0</v>
      </c>
      <c r="L98" s="765">
        <v>0</v>
      </c>
      <c r="M98" s="91">
        <v>0</v>
      </c>
      <c r="N98" s="765">
        <v>0</v>
      </c>
      <c r="O98" s="765">
        <v>0</v>
      </c>
      <c r="P98" s="91">
        <v>0</v>
      </c>
      <c r="Q98" s="765">
        <v>0</v>
      </c>
      <c r="R98" s="765">
        <v>0</v>
      </c>
      <c r="S98" s="91">
        <v>0</v>
      </c>
      <c r="T98" s="765">
        <v>0</v>
      </c>
      <c r="U98" s="765">
        <v>0</v>
      </c>
      <c r="V98" s="91">
        <v>0</v>
      </c>
      <c r="W98" s="765">
        <v>0</v>
      </c>
      <c r="X98" s="765">
        <v>0</v>
      </c>
      <c r="Y98" s="77">
        <f>SUM(B98:X98)</f>
        <v>121.87</v>
      </c>
    </row>
    <row r="100" spans="1:43" ht="15.75" thickBot="1">
      <c r="A100" s="59" t="s">
        <v>567</v>
      </c>
    </row>
    <row r="101" spans="1:43" ht="13.5" thickBot="1">
      <c r="A101" s="298" t="s">
        <v>568</v>
      </c>
      <c r="B101" s="90">
        <f>F106</f>
        <v>110.392</v>
      </c>
      <c r="C101" s="600" t="s">
        <v>84</v>
      </c>
    </row>
    <row r="102" spans="1:43" s="56" customFormat="1" ht="15.75" thickBot="1">
      <c r="A102" s="299" t="s">
        <v>382</v>
      </c>
      <c r="B102" s="300" t="s">
        <v>569</v>
      </c>
      <c r="C102" s="300" t="s">
        <v>409</v>
      </c>
      <c r="D102" s="300" t="s">
        <v>570</v>
      </c>
      <c r="E102" s="300" t="s">
        <v>571</v>
      </c>
      <c r="F102" s="301" t="s">
        <v>572</v>
      </c>
      <c r="G102" s="10"/>
      <c r="H102" s="8"/>
      <c r="I102" s="8"/>
      <c r="J102" s="127"/>
      <c r="K102" s="127"/>
      <c r="L102" s="127"/>
      <c r="M102" s="127"/>
      <c r="N102" s="127"/>
      <c r="O102" s="127"/>
      <c r="P102" s="127"/>
      <c r="Q102" s="127"/>
      <c r="R102" s="127"/>
      <c r="S102" s="127"/>
      <c r="T102" s="127"/>
      <c r="U102" s="127"/>
      <c r="V102" s="127"/>
      <c r="W102" s="127"/>
      <c r="X102" s="127"/>
      <c r="Y102" s="127"/>
      <c r="Z102" s="127"/>
      <c r="AA102" s="127"/>
      <c r="AB102" s="127"/>
      <c r="AC102" s="127"/>
      <c r="AD102" s="127"/>
      <c r="AE102" s="127"/>
      <c r="AF102" s="127"/>
      <c r="AG102" s="276"/>
      <c r="AH102" s="127"/>
      <c r="AI102" s="127"/>
      <c r="AJ102" s="127"/>
      <c r="AK102" s="127"/>
      <c r="AL102" s="127"/>
      <c r="AM102" s="127"/>
      <c r="AN102" s="127"/>
      <c r="AO102" s="127"/>
      <c r="AP102" s="127"/>
      <c r="AQ102" s="276"/>
    </row>
    <row r="103" spans="1:43">
      <c r="A103" s="61"/>
      <c r="B103" s="61"/>
      <c r="C103" s="61"/>
      <c r="D103" s="61"/>
      <c r="E103" s="61"/>
      <c r="F103" s="61"/>
    </row>
    <row r="104" spans="1:43" ht="15">
      <c r="A104" s="68" t="s">
        <v>573</v>
      </c>
      <c r="B104" s="64" t="s">
        <v>574</v>
      </c>
      <c r="C104" s="78">
        <f>Q109</f>
        <v>110.392</v>
      </c>
      <c r="D104" s="78">
        <f>Q110</f>
        <v>0</v>
      </c>
      <c r="E104" s="78">
        <f>0.1*D104</f>
        <v>0</v>
      </c>
      <c r="F104" s="79">
        <f>E104+C104</f>
        <v>110.392</v>
      </c>
      <c r="G104" s="60"/>
    </row>
    <row r="105" spans="1:43" s="56" customFormat="1" ht="15.75" thickBot="1">
      <c r="A105" s="68"/>
      <c r="B105" s="64"/>
      <c r="C105" s="78"/>
      <c r="D105" s="78"/>
      <c r="E105" s="78"/>
      <c r="F105" s="79"/>
      <c r="G105" s="60"/>
      <c r="H105" s="8"/>
      <c r="I105" s="8"/>
      <c r="J105" s="127"/>
      <c r="K105" s="127"/>
      <c r="L105" s="127"/>
      <c r="M105" s="127"/>
      <c r="N105" s="127"/>
      <c r="O105" s="127"/>
      <c r="P105" s="127"/>
      <c r="Q105" s="127"/>
      <c r="R105" s="127"/>
      <c r="S105" s="127"/>
      <c r="T105" s="127"/>
      <c r="U105" s="127"/>
      <c r="V105" s="127"/>
      <c r="W105" s="127"/>
      <c r="X105" s="127"/>
      <c r="Y105" s="127"/>
      <c r="Z105" s="127"/>
      <c r="AA105" s="127"/>
      <c r="AB105" s="127"/>
      <c r="AC105" s="127"/>
      <c r="AD105" s="127"/>
      <c r="AE105" s="127"/>
      <c r="AF105" s="127"/>
      <c r="AG105" s="276"/>
      <c r="AH105" s="127"/>
      <c r="AI105" s="127"/>
      <c r="AJ105" s="127"/>
      <c r="AK105" s="127"/>
      <c r="AL105" s="127"/>
      <c r="AM105" s="127"/>
      <c r="AN105" s="127"/>
      <c r="AO105" s="127"/>
      <c r="AP105" s="127"/>
      <c r="AQ105" s="276"/>
    </row>
    <row r="106" spans="1:43" ht="13.5" thickBot="1">
      <c r="A106" s="964" t="s">
        <v>393</v>
      </c>
      <c r="B106" s="965"/>
      <c r="C106" s="965"/>
      <c r="D106" s="965"/>
      <c r="E106" s="966"/>
      <c r="F106" s="111">
        <f>SUM(F104:F105)</f>
        <v>110.392</v>
      </c>
    </row>
    <row r="108" spans="1:43" ht="15.75" thickBot="1">
      <c r="A108" s="59" t="s">
        <v>575</v>
      </c>
    </row>
    <row r="109" spans="1:43" ht="15">
      <c r="A109" s="764" t="s">
        <v>576</v>
      </c>
      <c r="B109" s="765">
        <v>17.350000000000001</v>
      </c>
      <c r="C109" s="765">
        <v>16.11</v>
      </c>
      <c r="D109" s="765">
        <v>25.8</v>
      </c>
      <c r="E109" s="765">
        <v>3.589</v>
      </c>
      <c r="F109" s="765">
        <v>16.829999999999998</v>
      </c>
      <c r="G109" s="765">
        <v>2.1930000000000001</v>
      </c>
      <c r="H109" s="765">
        <v>28.52</v>
      </c>
      <c r="I109" s="765">
        <v>0</v>
      </c>
      <c r="J109" s="765">
        <v>0</v>
      </c>
      <c r="K109" s="765">
        <v>0</v>
      </c>
      <c r="L109" s="765">
        <v>0</v>
      </c>
      <c r="M109" s="765">
        <v>0</v>
      </c>
      <c r="N109" s="765">
        <v>0</v>
      </c>
      <c r="O109" s="765">
        <v>0</v>
      </c>
      <c r="P109" s="765">
        <v>0</v>
      </c>
      <c r="Q109" s="302">
        <f>SUM(B109:P109)</f>
        <v>110.392</v>
      </c>
    </row>
    <row r="110" spans="1:43" ht="15.75" thickBot="1">
      <c r="A110" s="764" t="s">
        <v>570</v>
      </c>
      <c r="B110" s="765">
        <v>0</v>
      </c>
      <c r="C110" s="765">
        <v>0</v>
      </c>
      <c r="D110" s="765">
        <v>0</v>
      </c>
      <c r="E110" s="765">
        <v>0</v>
      </c>
      <c r="F110" s="765">
        <v>0</v>
      </c>
      <c r="G110" s="765">
        <v>0</v>
      </c>
      <c r="H110" s="765">
        <v>0</v>
      </c>
      <c r="I110" s="765">
        <v>0</v>
      </c>
      <c r="J110" s="765">
        <v>0</v>
      </c>
      <c r="K110" s="765">
        <v>0</v>
      </c>
      <c r="L110" s="765">
        <v>0</v>
      </c>
      <c r="M110" s="765">
        <v>0</v>
      </c>
      <c r="N110" s="765">
        <v>0</v>
      </c>
      <c r="O110" s="765">
        <v>0</v>
      </c>
      <c r="P110" s="765">
        <v>0</v>
      </c>
      <c r="Q110" s="303">
        <f>SUM(B110:P110)</f>
        <v>0</v>
      </c>
    </row>
    <row r="111" spans="1:43" ht="13.5" thickBot="1"/>
    <row r="112" spans="1:43" ht="13.5" thickBot="1">
      <c r="A112" s="298" t="s">
        <v>577</v>
      </c>
      <c r="B112" s="90">
        <f>D117</f>
        <v>11.420000000000002</v>
      </c>
      <c r="C112" s="83" t="s">
        <v>84</v>
      </c>
    </row>
    <row r="113" spans="1:43" ht="13.5" thickBot="1">
      <c r="A113" s="283" t="s">
        <v>382</v>
      </c>
      <c r="B113" s="284" t="s">
        <v>569</v>
      </c>
      <c r="C113" s="284" t="s">
        <v>409</v>
      </c>
      <c r="D113" s="285" t="s">
        <v>572</v>
      </c>
      <c r="E113" s="10"/>
    </row>
    <row r="114" spans="1:43" ht="15">
      <c r="A114" s="84" t="s">
        <v>578</v>
      </c>
      <c r="B114" s="66" t="s">
        <v>579</v>
      </c>
      <c r="C114" s="82">
        <f>K120</f>
        <v>11.420000000000002</v>
      </c>
      <c r="D114" s="88">
        <f>C114</f>
        <v>11.420000000000002</v>
      </c>
      <c r="E114" s="60"/>
    </row>
    <row r="115" spans="1:43" ht="15">
      <c r="A115" s="68"/>
      <c r="B115" s="85"/>
      <c r="C115" s="78"/>
      <c r="D115" s="79"/>
      <c r="E115" s="60"/>
    </row>
    <row r="116" spans="1:43" ht="15.75" thickBot="1">
      <c r="A116" s="68"/>
      <c r="B116" s="85"/>
      <c r="C116" s="78"/>
      <c r="D116" s="79"/>
      <c r="E116" s="60"/>
    </row>
    <row r="117" spans="1:43" ht="13.5" thickBot="1">
      <c r="A117" s="967" t="s">
        <v>393</v>
      </c>
      <c r="B117" s="959"/>
      <c r="C117" s="960"/>
      <c r="D117" s="111">
        <f>SUM(D114:D116)</f>
        <v>11.420000000000002</v>
      </c>
    </row>
    <row r="118" spans="1:43" s="56" customFormat="1" ht="15">
      <c r="A118" s="8"/>
      <c r="B118" s="8"/>
      <c r="C118" s="8"/>
      <c r="D118" s="8"/>
      <c r="E118" s="8"/>
      <c r="F118" s="8"/>
      <c r="G118" s="8"/>
      <c r="H118" s="8"/>
      <c r="I118" s="8"/>
      <c r="AH118" s="127"/>
      <c r="AI118" s="127"/>
      <c r="AJ118" s="127"/>
      <c r="AK118" s="127"/>
      <c r="AL118" s="127"/>
      <c r="AM118" s="127"/>
      <c r="AN118" s="127"/>
      <c r="AO118" s="127"/>
      <c r="AP118" s="127"/>
      <c r="AQ118" s="276"/>
    </row>
    <row r="119" spans="1:43" ht="15.75" thickBot="1">
      <c r="A119" s="59" t="s">
        <v>575</v>
      </c>
    </row>
    <row r="120" spans="1:43" ht="15.75" thickBot="1">
      <c r="A120" s="764" t="s">
        <v>576</v>
      </c>
      <c r="B120" s="765">
        <v>9.3000000000000007</v>
      </c>
      <c r="C120" s="765">
        <v>2.12</v>
      </c>
      <c r="D120" s="765">
        <v>0</v>
      </c>
      <c r="E120" s="765">
        <v>0</v>
      </c>
      <c r="F120" s="765">
        <v>0</v>
      </c>
      <c r="G120" s="765">
        <v>0</v>
      </c>
      <c r="H120" s="765">
        <v>0</v>
      </c>
      <c r="I120" s="765">
        <v>0</v>
      </c>
      <c r="J120" s="765">
        <v>0</v>
      </c>
      <c r="K120" s="282">
        <f>SUM(B120:J120)</f>
        <v>11.420000000000002</v>
      </c>
      <c r="L120" s="278"/>
      <c r="M120" s="127"/>
      <c r="N120" s="127"/>
      <c r="O120" s="127"/>
      <c r="P120" s="127"/>
      <c r="Q120" s="127"/>
      <c r="R120" s="127"/>
      <c r="S120" s="127"/>
      <c r="T120" s="127"/>
      <c r="U120" s="127"/>
      <c r="V120" s="127"/>
      <c r="W120" s="127"/>
      <c r="X120" s="127"/>
      <c r="Y120" s="127"/>
      <c r="Z120" s="127"/>
      <c r="AA120" s="127"/>
      <c r="AB120" s="127"/>
      <c r="AC120" s="127"/>
      <c r="AD120" s="127"/>
      <c r="AE120" s="127"/>
      <c r="AF120" s="127"/>
    </row>
    <row r="122" spans="1:43" ht="13.5" thickBot="1"/>
    <row r="123" spans="1:43" ht="13.5" thickBot="1">
      <c r="A123" s="304" t="s">
        <v>580</v>
      </c>
      <c r="B123" s="86">
        <f>E129</f>
        <v>22.610000000000007</v>
      </c>
      <c r="C123" s="87" t="s">
        <v>84</v>
      </c>
    </row>
    <row r="124" spans="1:43" ht="13.5" thickBot="1">
      <c r="A124" s="283" t="s">
        <v>382</v>
      </c>
      <c r="B124" s="284" t="s">
        <v>569</v>
      </c>
      <c r="C124" s="305" t="s">
        <v>383</v>
      </c>
      <c r="D124" s="305" t="s">
        <v>385</v>
      </c>
      <c r="E124" s="285" t="s">
        <v>572</v>
      </c>
    </row>
    <row r="125" spans="1:43" ht="15">
      <c r="A125" s="84" t="s">
        <v>581</v>
      </c>
      <c r="B125" s="66" t="s">
        <v>582</v>
      </c>
      <c r="C125" s="82">
        <f>K132</f>
        <v>11.420000000000002</v>
      </c>
      <c r="D125" s="88">
        <v>2.5</v>
      </c>
      <c r="E125" s="88">
        <f>D125*C125</f>
        <v>28.550000000000004</v>
      </c>
    </row>
    <row r="126" spans="1:43" ht="15">
      <c r="A126" s="68"/>
      <c r="B126" s="85"/>
      <c r="C126" s="78"/>
      <c r="D126" s="79"/>
      <c r="E126" s="79"/>
    </row>
    <row r="127" spans="1:43" s="56" customFormat="1" ht="15">
      <c r="A127" s="279" t="s">
        <v>583</v>
      </c>
      <c r="B127" s="85"/>
      <c r="C127" s="78">
        <v>0</v>
      </c>
      <c r="D127" s="79">
        <v>0</v>
      </c>
      <c r="E127" s="79">
        <f>K133</f>
        <v>5.9399999999999995</v>
      </c>
      <c r="F127" s="8"/>
      <c r="G127" s="8"/>
      <c r="H127" s="8"/>
      <c r="I127" s="8"/>
      <c r="AH127" s="127"/>
      <c r="AI127" s="127"/>
      <c r="AJ127" s="127"/>
      <c r="AK127" s="127"/>
      <c r="AL127" s="127"/>
      <c r="AM127" s="127"/>
      <c r="AN127" s="127"/>
      <c r="AO127" s="127"/>
      <c r="AP127" s="127"/>
      <c r="AQ127" s="276"/>
    </row>
    <row r="128" spans="1:43" ht="15.75" thickBot="1">
      <c r="A128" s="68"/>
      <c r="B128" s="85"/>
      <c r="C128" s="78"/>
      <c r="D128" s="79"/>
      <c r="E128" s="79"/>
    </row>
    <row r="129" spans="1:32" ht="13.5" thickBot="1">
      <c r="A129" s="967" t="s">
        <v>393</v>
      </c>
      <c r="B129" s="959"/>
      <c r="C129" s="959"/>
      <c r="D129" s="960"/>
      <c r="E129" s="111">
        <f>E125-E127</f>
        <v>22.610000000000007</v>
      </c>
    </row>
    <row r="131" spans="1:32" ht="15.75" thickBot="1">
      <c r="A131" s="59" t="s">
        <v>584</v>
      </c>
    </row>
    <row r="132" spans="1:32" ht="15.75" thickBot="1">
      <c r="A132" s="764" t="s">
        <v>383</v>
      </c>
      <c r="B132" s="765">
        <v>9.3000000000000007</v>
      </c>
      <c r="C132" s="765">
        <v>2.12</v>
      </c>
      <c r="D132" s="765">
        <v>0</v>
      </c>
      <c r="E132" s="765">
        <v>0</v>
      </c>
      <c r="F132" s="765">
        <v>0</v>
      </c>
      <c r="G132" s="765">
        <v>0</v>
      </c>
      <c r="H132" s="765">
        <v>0</v>
      </c>
      <c r="I132" s="765">
        <v>0</v>
      </c>
      <c r="J132" s="765">
        <v>0</v>
      </c>
      <c r="K132" s="282">
        <f>SUM(B132:J132)</f>
        <v>11.420000000000002</v>
      </c>
      <c r="L132" s="278"/>
      <c r="M132" s="127"/>
      <c r="N132" s="127"/>
      <c r="O132" s="127"/>
      <c r="P132" s="127"/>
      <c r="Q132" s="127"/>
      <c r="R132" s="127"/>
      <c r="S132" s="127"/>
      <c r="T132" s="127"/>
      <c r="U132" s="127"/>
      <c r="V132" s="127"/>
      <c r="W132" s="127"/>
      <c r="X132" s="127"/>
      <c r="Y132" s="127"/>
      <c r="Z132" s="127"/>
      <c r="AA132" s="127"/>
      <c r="AB132" s="127"/>
      <c r="AC132" s="127"/>
      <c r="AD132" s="127"/>
      <c r="AE132" s="127"/>
      <c r="AF132" s="127"/>
    </row>
    <row r="133" spans="1:32" ht="15.75" thickBot="1">
      <c r="A133" s="764" t="s">
        <v>447</v>
      </c>
      <c r="B133" s="768">
        <v>4.68</v>
      </c>
      <c r="C133" s="768">
        <v>1.26</v>
      </c>
      <c r="D133" s="768">
        <v>0</v>
      </c>
      <c r="E133" s="768">
        <v>0</v>
      </c>
      <c r="F133" s="768">
        <v>0</v>
      </c>
      <c r="G133" s="768">
        <v>0</v>
      </c>
      <c r="H133" s="768">
        <v>0</v>
      </c>
      <c r="I133" s="768">
        <v>0</v>
      </c>
      <c r="J133" s="765">
        <v>0</v>
      </c>
      <c r="K133" s="282">
        <f>SUM(B133:J133)</f>
        <v>5.9399999999999995</v>
      </c>
      <c r="L133" s="278"/>
      <c r="M133" s="127"/>
      <c r="N133" s="127"/>
      <c r="O133" s="127"/>
      <c r="P133" s="127"/>
      <c r="Q133" s="127"/>
      <c r="R133" s="127"/>
      <c r="S133" s="127"/>
      <c r="T133" s="127"/>
      <c r="U133" s="127"/>
      <c r="V133" s="127"/>
      <c r="W133" s="127"/>
      <c r="X133" s="127"/>
      <c r="Y133" s="127"/>
      <c r="Z133" s="127"/>
      <c r="AA133" s="127"/>
      <c r="AB133" s="127"/>
      <c r="AC133" s="127"/>
      <c r="AD133" s="127"/>
      <c r="AE133" s="127"/>
      <c r="AF133" s="127"/>
    </row>
    <row r="135" spans="1:32" ht="13.5" thickBot="1"/>
    <row r="136" spans="1:32" ht="13.5" thickBot="1">
      <c r="A136" s="304" t="s">
        <v>585</v>
      </c>
      <c r="B136" s="325">
        <f>E142</f>
        <v>9.8604000000000003</v>
      </c>
      <c r="C136" s="87" t="s">
        <v>84</v>
      </c>
    </row>
    <row r="137" spans="1:32" ht="13.5" thickBot="1">
      <c r="A137" s="283" t="s">
        <v>382</v>
      </c>
      <c r="B137" s="305" t="s">
        <v>291</v>
      </c>
      <c r="C137" s="305" t="s">
        <v>383</v>
      </c>
      <c r="D137" s="305" t="s">
        <v>385</v>
      </c>
      <c r="E137" s="285" t="s">
        <v>572</v>
      </c>
    </row>
    <row r="138" spans="1:32" ht="15">
      <c r="A138" s="84" t="s">
        <v>586</v>
      </c>
      <c r="B138" s="66">
        <v>1</v>
      </c>
      <c r="C138" s="82">
        <v>2.75</v>
      </c>
      <c r="D138" s="601">
        <v>2</v>
      </c>
      <c r="E138" s="88">
        <f>B138*C138*D138</f>
        <v>5.5</v>
      </c>
    </row>
    <row r="139" spans="1:32" ht="15">
      <c r="A139" s="68" t="s">
        <v>587</v>
      </c>
      <c r="B139" s="85">
        <v>20</v>
      </c>
      <c r="C139" s="78">
        <v>0.98799999999999999</v>
      </c>
      <c r="D139" s="602">
        <v>0.16500000000000001</v>
      </c>
      <c r="E139" s="79">
        <f>D139*C139*B139</f>
        <v>3.2603999999999997</v>
      </c>
    </row>
    <row r="140" spans="1:32" ht="15">
      <c r="A140" s="68" t="s">
        <v>588</v>
      </c>
      <c r="B140" s="85">
        <v>1</v>
      </c>
      <c r="C140" s="78">
        <f>K145</f>
        <v>11</v>
      </c>
      <c r="D140" s="602">
        <v>0.1</v>
      </c>
      <c r="E140" s="79">
        <f>D140*C140*B140</f>
        <v>1.1000000000000001</v>
      </c>
    </row>
    <row r="141" spans="1:32" ht="15.75" thickBot="1">
      <c r="A141" s="68"/>
      <c r="B141" s="85"/>
      <c r="C141" s="78"/>
      <c r="D141" s="79"/>
      <c r="E141" s="79"/>
    </row>
    <row r="142" spans="1:32" ht="13.5" thickBot="1">
      <c r="A142" s="967" t="s">
        <v>393</v>
      </c>
      <c r="B142" s="959"/>
      <c r="C142" s="959"/>
      <c r="D142" s="960"/>
      <c r="E142" s="111">
        <f>SUM(E138:E141)</f>
        <v>9.8604000000000003</v>
      </c>
    </row>
    <row r="144" spans="1:32" ht="15.75" thickBot="1">
      <c r="A144" s="59" t="s">
        <v>113</v>
      </c>
    </row>
    <row r="145" spans="1:43" ht="15.75" thickBot="1">
      <c r="A145" s="769" t="s">
        <v>588</v>
      </c>
      <c r="B145" s="765">
        <v>4.2</v>
      </c>
      <c r="C145" s="765">
        <v>4.2</v>
      </c>
      <c r="D145" s="765">
        <v>2.6</v>
      </c>
      <c r="E145" s="765">
        <v>0</v>
      </c>
      <c r="F145" s="765">
        <v>0</v>
      </c>
      <c r="G145" s="765">
        <v>0</v>
      </c>
      <c r="H145" s="765">
        <v>0</v>
      </c>
      <c r="I145" s="765">
        <v>0</v>
      </c>
      <c r="J145" s="765">
        <v>0</v>
      </c>
      <c r="K145" s="282">
        <f>SUM(B145:J145)</f>
        <v>11</v>
      </c>
      <c r="L145" s="278"/>
      <c r="M145" s="127"/>
      <c r="N145" s="127"/>
      <c r="O145" s="127"/>
      <c r="P145" s="127"/>
      <c r="Q145" s="127"/>
      <c r="R145" s="127"/>
      <c r="S145" s="127"/>
      <c r="T145" s="127"/>
      <c r="U145" s="127"/>
      <c r="V145" s="127"/>
      <c r="W145" s="127"/>
      <c r="X145" s="127"/>
      <c r="Y145" s="127"/>
      <c r="Z145" s="127"/>
      <c r="AA145" s="127"/>
      <c r="AB145" s="127"/>
      <c r="AC145" s="127"/>
      <c r="AD145" s="127"/>
      <c r="AE145" s="127"/>
      <c r="AF145" s="127"/>
    </row>
    <row r="146" spans="1:43" ht="13.5" thickBot="1"/>
    <row r="147" spans="1:43" ht="13.5" thickBot="1">
      <c r="A147" s="304" t="s">
        <v>589</v>
      </c>
      <c r="B147" s="325">
        <v>4.2</v>
      </c>
      <c r="C147" s="87" t="s">
        <v>84</v>
      </c>
    </row>
    <row r="148" spans="1:43" ht="13.5" thickBot="1">
      <c r="A148" s="283" t="s">
        <v>382</v>
      </c>
      <c r="B148" s="305" t="s">
        <v>291</v>
      </c>
      <c r="C148" s="305" t="s">
        <v>383</v>
      </c>
      <c r="D148" s="305" t="s">
        <v>385</v>
      </c>
      <c r="E148" s="285" t="s">
        <v>572</v>
      </c>
    </row>
    <row r="149" spans="1:43" ht="15">
      <c r="A149" s="84" t="s">
        <v>590</v>
      </c>
      <c r="B149" s="66">
        <v>0</v>
      </c>
      <c r="C149" s="82">
        <v>0</v>
      </c>
      <c r="D149" s="88">
        <v>0</v>
      </c>
      <c r="E149" s="79">
        <f>D149*C149*B149</f>
        <v>0</v>
      </c>
    </row>
    <row r="150" spans="1:43" ht="15">
      <c r="A150" s="68" t="s">
        <v>591</v>
      </c>
      <c r="B150" s="85">
        <v>0</v>
      </c>
      <c r="C150" s="78">
        <v>0</v>
      </c>
      <c r="D150" s="79">
        <v>0</v>
      </c>
      <c r="E150" s="79">
        <f>D150*C150*B150</f>
        <v>0</v>
      </c>
    </row>
    <row r="151" spans="1:43" ht="15">
      <c r="A151" s="68" t="s">
        <v>592</v>
      </c>
      <c r="B151" s="85">
        <v>0</v>
      </c>
      <c r="C151" s="78">
        <v>0</v>
      </c>
      <c r="D151" s="79">
        <v>0</v>
      </c>
      <c r="E151" s="79">
        <f>D151*C151*B151</f>
        <v>0</v>
      </c>
    </row>
    <row r="152" spans="1:43" ht="15.75" thickBot="1">
      <c r="A152" s="68"/>
      <c r="B152" s="85">
        <v>0</v>
      </c>
      <c r="C152" s="78"/>
      <c r="D152" s="79"/>
      <c r="E152" s="79"/>
    </row>
    <row r="153" spans="1:43" ht="13.5" thickBot="1">
      <c r="A153" s="967" t="s">
        <v>393</v>
      </c>
      <c r="B153" s="959"/>
      <c r="C153" s="959"/>
      <c r="D153" s="960"/>
      <c r="E153" s="111">
        <f>SUM(E149:E152)</f>
        <v>0</v>
      </c>
    </row>
    <row r="156" spans="1:43" s="56" customFormat="1" ht="15.75" thickBot="1">
      <c r="A156" s="59" t="s">
        <v>593</v>
      </c>
      <c r="B156" s="8"/>
      <c r="C156" s="8"/>
      <c r="D156" s="8"/>
      <c r="E156" s="8"/>
      <c r="F156" s="8"/>
      <c r="G156" s="8"/>
      <c r="H156" s="8"/>
      <c r="I156" s="8"/>
      <c r="J156" s="127"/>
      <c r="K156" s="127"/>
      <c r="L156" s="127"/>
      <c r="M156" s="127"/>
      <c r="N156" s="127"/>
      <c r="O156" s="127"/>
      <c r="P156" s="127"/>
      <c r="Q156" s="127"/>
      <c r="R156" s="127"/>
      <c r="S156" s="127"/>
      <c r="T156" s="127"/>
      <c r="U156" s="127"/>
      <c r="V156" s="127"/>
      <c r="W156" s="127"/>
      <c r="X156" s="127"/>
      <c r="Y156" s="127"/>
      <c r="Z156" s="127"/>
      <c r="AA156" s="127"/>
      <c r="AB156" s="127"/>
      <c r="AC156" s="127"/>
      <c r="AD156" s="127"/>
      <c r="AE156" s="127"/>
      <c r="AF156" s="276"/>
      <c r="AG156" s="127"/>
      <c r="AH156" s="127"/>
      <c r="AI156" s="127"/>
      <c r="AJ156" s="127"/>
      <c r="AK156" s="127"/>
      <c r="AL156" s="127"/>
      <c r="AM156" s="127"/>
      <c r="AN156" s="127"/>
      <c r="AO156" s="127"/>
      <c r="AP156" s="127"/>
      <c r="AQ156" s="276"/>
    </row>
    <row r="157" spans="1:43" s="56" customFormat="1" ht="15.75" thickBot="1">
      <c r="A157" s="764" t="s">
        <v>594</v>
      </c>
      <c r="B157" s="767">
        <f>K160</f>
        <v>11.420000000000002</v>
      </c>
      <c r="C157" s="282" t="s">
        <v>84</v>
      </c>
      <c r="D157" s="275" t="s">
        <v>595</v>
      </c>
      <c r="E157" s="127"/>
      <c r="F157" s="127"/>
      <c r="G157" s="276"/>
      <c r="H157" s="127"/>
      <c r="I157" s="127"/>
      <c r="J157" s="281"/>
      <c r="K157" s="281"/>
      <c r="L157" s="281"/>
      <c r="M157" s="281"/>
      <c r="N157" s="281"/>
      <c r="O157" s="281"/>
      <c r="P157" s="281"/>
      <c r="Q157" s="281"/>
      <c r="R157" s="281"/>
      <c r="S157" s="281"/>
      <c r="T157" s="281"/>
      <c r="U157" s="281"/>
      <c r="V157" s="281"/>
      <c r="W157" s="281"/>
      <c r="X157" s="281"/>
      <c r="Y157" s="281"/>
      <c r="Z157" s="281"/>
      <c r="AA157" s="281"/>
      <c r="AB157" s="281"/>
      <c r="AC157" s="281"/>
      <c r="AD157" s="281"/>
      <c r="AE157" s="281"/>
      <c r="AF157" s="276"/>
      <c r="AG157" s="127"/>
      <c r="AH157" s="127"/>
      <c r="AI157" s="127"/>
      <c r="AJ157" s="127"/>
      <c r="AK157" s="127"/>
      <c r="AL157" s="127"/>
      <c r="AM157" s="127"/>
      <c r="AN157" s="127"/>
      <c r="AO157" s="127"/>
      <c r="AP157" s="127"/>
      <c r="AQ157" s="276"/>
    </row>
    <row r="158" spans="1:43" s="56" customFormat="1" ht="15">
      <c r="A158" s="8"/>
      <c r="B158" s="8"/>
      <c r="C158" s="8"/>
      <c r="D158" s="8"/>
      <c r="E158" s="8"/>
      <c r="F158" s="8"/>
      <c r="G158" s="8"/>
      <c r="H158" s="8"/>
      <c r="I158" s="8"/>
      <c r="J158" s="127"/>
      <c r="K158" s="127"/>
      <c r="L158" s="127"/>
      <c r="M158" s="127"/>
      <c r="N158" s="127"/>
      <c r="O158" s="127"/>
      <c r="P158" s="127"/>
      <c r="Q158" s="127"/>
      <c r="R158" s="127"/>
      <c r="S158" s="127"/>
      <c r="T158" s="127"/>
      <c r="U158" s="127"/>
      <c r="V158" s="127"/>
      <c r="W158" s="127"/>
      <c r="X158" s="127"/>
      <c r="Y158" s="127"/>
      <c r="Z158" s="127"/>
      <c r="AA158" s="127"/>
      <c r="AB158" s="127"/>
      <c r="AC158" s="127"/>
      <c r="AD158" s="127"/>
      <c r="AE158" s="127"/>
      <c r="AF158" s="276"/>
      <c r="AG158" s="127"/>
      <c r="AH158" s="127"/>
      <c r="AI158" s="127"/>
      <c r="AJ158" s="127"/>
      <c r="AK158" s="127"/>
      <c r="AL158" s="127"/>
      <c r="AM158" s="127"/>
      <c r="AN158" s="127"/>
      <c r="AO158" s="127"/>
      <c r="AP158" s="127"/>
      <c r="AQ158" s="276"/>
    </row>
    <row r="159" spans="1:43" ht="15.75" thickBot="1">
      <c r="A159" s="59" t="s">
        <v>409</v>
      </c>
    </row>
    <row r="160" spans="1:43" ht="15.75" thickBot="1">
      <c r="A160" s="764" t="str">
        <f>A157</f>
        <v>Gypsum ceiling</v>
      </c>
      <c r="B160" s="765">
        <v>9.3000000000000007</v>
      </c>
      <c r="C160" s="765">
        <v>2.12</v>
      </c>
      <c r="D160" s="765">
        <v>0</v>
      </c>
      <c r="E160" s="765">
        <v>0</v>
      </c>
      <c r="F160" s="765">
        <v>0</v>
      </c>
      <c r="G160" s="91">
        <v>0</v>
      </c>
      <c r="H160" s="765">
        <v>0</v>
      </c>
      <c r="I160" s="765">
        <v>0</v>
      </c>
      <c r="J160" s="765">
        <v>0</v>
      </c>
      <c r="K160" s="282">
        <f>SUM(B160:J160)</f>
        <v>11.420000000000002</v>
      </c>
      <c r="L160" s="306"/>
      <c r="Y160" s="102"/>
    </row>
    <row r="162" spans="1:43" ht="13.5" thickBot="1"/>
    <row r="163" spans="1:43" ht="13.5" thickBot="1">
      <c r="A163" s="304" t="s">
        <v>596</v>
      </c>
      <c r="B163" s="86"/>
      <c r="C163" s="87"/>
    </row>
    <row r="164" spans="1:43" ht="13.5" thickBot="1">
      <c r="A164" s="283" t="s">
        <v>382</v>
      </c>
      <c r="B164" s="284" t="s">
        <v>597</v>
      </c>
      <c r="C164" s="305" t="s">
        <v>598</v>
      </c>
      <c r="D164" s="305"/>
      <c r="E164" s="305"/>
      <c r="F164" s="308" t="s">
        <v>572</v>
      </c>
      <c r="G164" s="18"/>
      <c r="H164" s="18"/>
      <c r="I164" s="18"/>
      <c r="J164" s="18"/>
    </row>
    <row r="165" spans="1:43" s="56" customFormat="1" ht="15">
      <c r="A165" s="84"/>
      <c r="B165" s="66"/>
      <c r="C165" s="82"/>
      <c r="D165" s="82"/>
      <c r="E165" s="82"/>
      <c r="F165" s="82"/>
      <c r="G165" s="75"/>
      <c r="H165" s="75"/>
      <c r="I165" s="75"/>
      <c r="J165" s="75"/>
      <c r="K165" s="127"/>
      <c r="L165" s="127"/>
      <c r="M165" s="127"/>
      <c r="N165" s="127"/>
      <c r="O165" s="127"/>
      <c r="P165" s="127"/>
      <c r="Q165" s="127"/>
      <c r="R165" s="127"/>
      <c r="S165" s="127"/>
      <c r="T165" s="127"/>
      <c r="U165" s="127"/>
      <c r="V165" s="127"/>
      <c r="W165" s="127"/>
      <c r="X165" s="127"/>
      <c r="Y165" s="127"/>
      <c r="Z165" s="127"/>
      <c r="AA165" s="127"/>
      <c r="AB165" s="127"/>
      <c r="AC165" s="127"/>
      <c r="AD165" s="127"/>
      <c r="AE165" s="127"/>
      <c r="AF165" s="127"/>
      <c r="AG165" s="276"/>
      <c r="AH165" s="127"/>
      <c r="AI165" s="127"/>
      <c r="AJ165" s="127"/>
      <c r="AK165" s="127"/>
      <c r="AL165" s="127"/>
      <c r="AM165" s="127"/>
      <c r="AN165" s="127"/>
      <c r="AO165" s="127"/>
      <c r="AP165" s="127"/>
      <c r="AQ165" s="276"/>
    </row>
    <row r="166" spans="1:43">
      <c r="A166" s="68" t="s">
        <v>599</v>
      </c>
      <c r="B166" s="309">
        <v>0</v>
      </c>
      <c r="C166" s="309">
        <v>0</v>
      </c>
      <c r="D166" s="309">
        <v>0</v>
      </c>
      <c r="E166" s="309">
        <v>0</v>
      </c>
      <c r="F166" s="324">
        <f>E166+D166+C166+B166</f>
        <v>0</v>
      </c>
      <c r="G166" s="307"/>
      <c r="H166" s="307"/>
      <c r="I166" s="307"/>
      <c r="J166" s="307"/>
    </row>
    <row r="167" spans="1:43">
      <c r="A167" s="68" t="s">
        <v>600</v>
      </c>
      <c r="B167" s="309">
        <v>0</v>
      </c>
      <c r="C167" s="309">
        <v>0</v>
      </c>
      <c r="D167" s="309">
        <v>0</v>
      </c>
      <c r="E167" s="309">
        <v>0</v>
      </c>
      <c r="F167" s="324">
        <f>E167+D167+C167+B167</f>
        <v>0</v>
      </c>
      <c r="G167" s="307"/>
      <c r="H167" s="307"/>
      <c r="I167" s="307"/>
      <c r="J167" s="307"/>
    </row>
    <row r="168" spans="1:43">
      <c r="A168" s="68" t="s">
        <v>601</v>
      </c>
      <c r="B168" s="309">
        <v>1</v>
      </c>
      <c r="C168" s="309">
        <v>0</v>
      </c>
      <c r="D168" s="309">
        <v>0</v>
      </c>
      <c r="E168" s="309">
        <v>0</v>
      </c>
      <c r="F168" s="324">
        <f t="shared" ref="F168:F178" si="45">E168+D168+C168+B168</f>
        <v>1</v>
      </c>
      <c r="G168" s="307"/>
      <c r="H168" s="307"/>
      <c r="I168" s="307"/>
      <c r="J168" s="307"/>
    </row>
    <row r="169" spans="1:43" s="56" customFormat="1" ht="15">
      <c r="A169" s="68" t="s">
        <v>602</v>
      </c>
      <c r="B169" s="309">
        <v>0</v>
      </c>
      <c r="C169" s="309">
        <v>0</v>
      </c>
      <c r="D169" s="309">
        <v>0</v>
      </c>
      <c r="E169" s="309">
        <v>0</v>
      </c>
      <c r="F169" s="324">
        <f t="shared" si="45"/>
        <v>0</v>
      </c>
      <c r="G169" s="307"/>
      <c r="H169" s="307"/>
      <c r="I169" s="307"/>
      <c r="J169" s="307"/>
      <c r="K169" s="127"/>
      <c r="L169" s="127"/>
      <c r="M169" s="127"/>
      <c r="N169" s="127"/>
      <c r="O169" s="127"/>
      <c r="P169" s="127"/>
      <c r="Q169" s="127"/>
      <c r="R169" s="127"/>
      <c r="S169" s="127"/>
      <c r="T169" s="127"/>
      <c r="U169" s="127"/>
      <c r="V169" s="127"/>
      <c r="W169" s="127"/>
      <c r="X169" s="127"/>
      <c r="Y169" s="127"/>
      <c r="Z169" s="127"/>
      <c r="AA169" s="127"/>
      <c r="AB169" s="127"/>
      <c r="AC169" s="127"/>
      <c r="AD169" s="127"/>
      <c r="AE169" s="127"/>
      <c r="AF169" s="127"/>
      <c r="AG169" s="276"/>
      <c r="AH169" s="127"/>
      <c r="AI169" s="127"/>
      <c r="AJ169" s="127"/>
      <c r="AK169" s="127"/>
      <c r="AL169" s="127"/>
      <c r="AM169" s="127"/>
      <c r="AN169" s="127"/>
      <c r="AO169" s="127"/>
      <c r="AP169" s="127"/>
      <c r="AQ169" s="276"/>
    </row>
    <row r="170" spans="1:43">
      <c r="A170" s="68" t="s">
        <v>603</v>
      </c>
      <c r="B170" s="309">
        <v>0</v>
      </c>
      <c r="C170" s="309">
        <v>0</v>
      </c>
      <c r="D170" s="309">
        <v>0</v>
      </c>
      <c r="E170" s="309">
        <v>0</v>
      </c>
      <c r="F170" s="324">
        <f t="shared" si="45"/>
        <v>0</v>
      </c>
      <c r="G170" s="307"/>
      <c r="H170" s="307"/>
      <c r="I170" s="307"/>
      <c r="J170" s="307"/>
    </row>
    <row r="171" spans="1:43">
      <c r="A171" s="68" t="s">
        <v>604</v>
      </c>
      <c r="B171" s="309">
        <v>1</v>
      </c>
      <c r="C171" s="309">
        <v>0</v>
      </c>
      <c r="D171" s="309">
        <v>0</v>
      </c>
      <c r="E171" s="309">
        <v>0</v>
      </c>
      <c r="F171" s="324">
        <f t="shared" si="45"/>
        <v>1</v>
      </c>
      <c r="G171" s="307"/>
      <c r="H171" s="307"/>
      <c r="I171" s="307"/>
      <c r="J171" s="307"/>
    </row>
    <row r="172" spans="1:43">
      <c r="A172" s="68" t="s">
        <v>605</v>
      </c>
      <c r="B172" s="309">
        <v>0</v>
      </c>
      <c r="C172" s="309">
        <v>0</v>
      </c>
      <c r="D172" s="309">
        <v>0</v>
      </c>
      <c r="E172" s="309">
        <v>0</v>
      </c>
      <c r="F172" s="324">
        <f t="shared" si="45"/>
        <v>0</v>
      </c>
      <c r="G172" s="307"/>
      <c r="H172" s="307"/>
      <c r="I172" s="307"/>
      <c r="J172" s="307"/>
    </row>
    <row r="173" spans="1:43">
      <c r="A173" s="68" t="s">
        <v>606</v>
      </c>
      <c r="B173" s="309">
        <v>0</v>
      </c>
      <c r="C173" s="309">
        <v>0</v>
      </c>
      <c r="D173" s="309">
        <v>0</v>
      </c>
      <c r="E173" s="309">
        <v>0</v>
      </c>
      <c r="F173" s="324">
        <f t="shared" si="45"/>
        <v>0</v>
      </c>
      <c r="G173" s="307"/>
      <c r="H173" s="307"/>
      <c r="I173" s="307"/>
      <c r="J173" s="307"/>
    </row>
    <row r="174" spans="1:43">
      <c r="A174" s="68" t="s">
        <v>607</v>
      </c>
      <c r="B174" s="309">
        <v>0</v>
      </c>
      <c r="C174" s="309">
        <v>0</v>
      </c>
      <c r="D174" s="309">
        <v>0</v>
      </c>
      <c r="E174" s="309">
        <v>0</v>
      </c>
      <c r="F174" s="324">
        <f t="shared" si="45"/>
        <v>0</v>
      </c>
      <c r="G174" s="307"/>
      <c r="H174" s="307"/>
      <c r="I174" s="307"/>
      <c r="J174" s="307"/>
    </row>
    <row r="175" spans="1:43">
      <c r="A175" s="68" t="s">
        <v>608</v>
      </c>
      <c r="B175" s="309">
        <v>0</v>
      </c>
      <c r="C175" s="309">
        <v>0</v>
      </c>
      <c r="D175" s="309">
        <v>0</v>
      </c>
      <c r="E175" s="309">
        <v>0</v>
      </c>
      <c r="F175" s="324">
        <f t="shared" si="45"/>
        <v>0</v>
      </c>
      <c r="G175" s="307"/>
      <c r="H175" s="307"/>
      <c r="I175" s="307"/>
      <c r="J175" s="307"/>
    </row>
    <row r="176" spans="1:43">
      <c r="A176" s="68" t="s">
        <v>609</v>
      </c>
      <c r="B176" s="309">
        <v>0</v>
      </c>
      <c r="C176" s="309">
        <v>0</v>
      </c>
      <c r="D176" s="309">
        <v>0</v>
      </c>
      <c r="E176" s="309">
        <v>0</v>
      </c>
      <c r="F176" s="324">
        <f t="shared" si="45"/>
        <v>0</v>
      </c>
      <c r="G176" s="307"/>
      <c r="H176" s="307"/>
      <c r="I176" s="307"/>
      <c r="J176" s="307"/>
    </row>
    <row r="177" spans="1:43">
      <c r="A177" s="68" t="s">
        <v>610</v>
      </c>
      <c r="B177" s="309">
        <v>0</v>
      </c>
      <c r="C177" s="309">
        <v>0</v>
      </c>
      <c r="D177" s="309">
        <v>0</v>
      </c>
      <c r="E177" s="309">
        <v>0</v>
      </c>
      <c r="F177" s="324">
        <f t="shared" si="45"/>
        <v>0</v>
      </c>
      <c r="G177" s="307"/>
      <c r="H177" s="307"/>
      <c r="I177" s="307"/>
      <c r="J177" s="307"/>
    </row>
    <row r="178" spans="1:43">
      <c r="A178" s="68" t="s">
        <v>611</v>
      </c>
      <c r="B178" s="309">
        <v>0</v>
      </c>
      <c r="C178" s="309">
        <v>0</v>
      </c>
      <c r="D178" s="309">
        <v>0</v>
      </c>
      <c r="E178" s="309">
        <v>0</v>
      </c>
      <c r="F178" s="324">
        <f t="shared" si="45"/>
        <v>0</v>
      </c>
      <c r="G178" s="307"/>
      <c r="H178" s="307"/>
      <c r="I178" s="307"/>
      <c r="J178" s="307"/>
    </row>
    <row r="179" spans="1:43" ht="13.5" thickBot="1">
      <c r="A179" s="71"/>
      <c r="B179" s="89"/>
      <c r="C179" s="80"/>
      <c r="D179" s="80"/>
      <c r="E179" s="80"/>
      <c r="F179" s="80"/>
      <c r="G179" s="75"/>
      <c r="H179" s="75"/>
      <c r="I179" s="75"/>
      <c r="J179" s="75"/>
    </row>
    <row r="182" spans="1:43" s="56" customFormat="1" ht="15.75" thickBot="1">
      <c r="A182" s="59" t="s">
        <v>612</v>
      </c>
      <c r="B182" s="8"/>
      <c r="C182" s="8"/>
      <c r="D182" s="8"/>
      <c r="E182" s="8"/>
      <c r="F182" s="8"/>
      <c r="G182" s="8"/>
      <c r="H182" s="8"/>
      <c r="I182" s="8"/>
      <c r="J182" s="127"/>
      <c r="K182" s="127"/>
      <c r="L182" s="127"/>
      <c r="M182" s="127"/>
      <c r="N182" s="127"/>
      <c r="O182" s="127"/>
      <c r="P182" s="127"/>
      <c r="Q182" s="127"/>
      <c r="R182" s="127"/>
      <c r="S182" s="127"/>
      <c r="T182" s="127"/>
      <c r="U182" s="127"/>
      <c r="V182" s="127"/>
      <c r="W182" s="127"/>
      <c r="X182" s="127"/>
      <c r="Y182" s="127"/>
      <c r="Z182" s="127"/>
      <c r="AA182" s="127"/>
      <c r="AB182" s="127"/>
      <c r="AC182" s="127"/>
      <c r="AD182" s="127"/>
      <c r="AE182" s="127"/>
      <c r="AF182" s="276"/>
      <c r="AG182" s="127"/>
      <c r="AH182" s="127"/>
      <c r="AI182" s="127"/>
      <c r="AJ182" s="127"/>
      <c r="AK182" s="127"/>
      <c r="AL182" s="127"/>
      <c r="AM182" s="127"/>
      <c r="AN182" s="127"/>
      <c r="AO182" s="127"/>
      <c r="AP182" s="127"/>
      <c r="AQ182" s="276"/>
    </row>
    <row r="183" spans="1:43" s="56" customFormat="1" ht="15.75" thickBot="1">
      <c r="A183" s="769" t="s">
        <v>613</v>
      </c>
      <c r="B183" s="767">
        <f>K186</f>
        <v>0</v>
      </c>
      <c r="C183" s="282" t="s">
        <v>614</v>
      </c>
      <c r="D183" s="275"/>
      <c r="E183" s="127"/>
      <c r="F183" s="127"/>
      <c r="G183" s="276"/>
      <c r="H183" s="127"/>
      <c r="I183" s="127"/>
      <c r="J183" s="281"/>
      <c r="K183" s="281"/>
      <c r="L183" s="281"/>
      <c r="M183" s="281"/>
      <c r="N183" s="281"/>
      <c r="O183" s="281"/>
      <c r="P183" s="281"/>
      <c r="Q183" s="281"/>
      <c r="R183" s="281"/>
      <c r="S183" s="281"/>
      <c r="T183" s="281"/>
      <c r="U183" s="281"/>
      <c r="V183" s="281"/>
      <c r="W183" s="281"/>
      <c r="X183" s="281"/>
      <c r="Y183" s="281"/>
      <c r="Z183" s="281"/>
      <c r="AA183" s="281"/>
      <c r="AB183" s="281"/>
      <c r="AC183" s="281"/>
      <c r="AD183" s="281"/>
      <c r="AE183" s="281"/>
      <c r="AF183" s="276"/>
      <c r="AG183" s="127"/>
      <c r="AH183" s="127"/>
      <c r="AI183" s="127"/>
      <c r="AJ183" s="127"/>
      <c r="AK183" s="127"/>
      <c r="AL183" s="127"/>
      <c r="AM183" s="127"/>
      <c r="AN183" s="127"/>
      <c r="AO183" s="127"/>
      <c r="AP183" s="127"/>
      <c r="AQ183" s="276"/>
    </row>
    <row r="184" spans="1:43" s="56" customFormat="1" ht="15">
      <c r="A184" s="8"/>
      <c r="B184" s="8"/>
      <c r="C184" s="8"/>
      <c r="D184" s="8"/>
      <c r="E184" s="8"/>
      <c r="F184" s="8"/>
      <c r="G184" s="8"/>
      <c r="H184" s="8"/>
      <c r="I184" s="8"/>
      <c r="J184" s="127"/>
      <c r="K184" s="127"/>
      <c r="L184" s="127"/>
      <c r="M184" s="127"/>
      <c r="N184" s="127"/>
      <c r="O184" s="127"/>
      <c r="P184" s="127"/>
      <c r="Q184" s="127"/>
      <c r="R184" s="127"/>
      <c r="S184" s="127"/>
      <c r="T184" s="127"/>
      <c r="U184" s="127"/>
      <c r="V184" s="127"/>
      <c r="W184" s="127"/>
      <c r="X184" s="127"/>
      <c r="Y184" s="127"/>
      <c r="Z184" s="127"/>
      <c r="AA184" s="127"/>
      <c r="AB184" s="127"/>
      <c r="AC184" s="127"/>
      <c r="AD184" s="127"/>
      <c r="AE184" s="127"/>
      <c r="AF184" s="276"/>
      <c r="AG184" s="127"/>
      <c r="AH184" s="127"/>
      <c r="AI184" s="127"/>
      <c r="AJ184" s="127"/>
      <c r="AK184" s="127"/>
      <c r="AL184" s="127"/>
      <c r="AM184" s="127"/>
      <c r="AN184" s="127"/>
      <c r="AO184" s="127"/>
      <c r="AP184" s="127"/>
      <c r="AQ184" s="276"/>
    </row>
    <row r="185" spans="1:43" ht="15.75" thickBot="1">
      <c r="A185" s="59" t="s">
        <v>615</v>
      </c>
    </row>
    <row r="186" spans="1:43" ht="15.75" thickBot="1">
      <c r="A186" s="764" t="str">
        <f>A183</f>
        <v>Hand Rail</v>
      </c>
      <c r="B186" s="765">
        <v>0</v>
      </c>
      <c r="C186" s="765">
        <v>0</v>
      </c>
      <c r="D186" s="765">
        <v>0</v>
      </c>
      <c r="E186" s="765">
        <v>0</v>
      </c>
      <c r="F186" s="765">
        <v>0</v>
      </c>
      <c r="G186" s="91">
        <v>0</v>
      </c>
      <c r="H186" s="765">
        <v>0</v>
      </c>
      <c r="I186" s="765">
        <v>0</v>
      </c>
      <c r="J186" s="765">
        <v>0</v>
      </c>
      <c r="K186" s="282">
        <f>SUM(B186:J186)</f>
        <v>0</v>
      </c>
      <c r="L186" s="306"/>
      <c r="Y186" s="102"/>
    </row>
    <row r="188" spans="1:43" ht="13.5" thickBot="1"/>
    <row r="189" spans="1:43" s="579" customFormat="1" ht="15.75" thickBot="1">
      <c r="A189" s="578" t="s">
        <v>124</v>
      </c>
    </row>
    <row r="191" spans="1:43" ht="15.75" thickBot="1">
      <c r="A191" s="59" t="s">
        <v>526</v>
      </c>
    </row>
    <row r="192" spans="1:43" s="56" customFormat="1" ht="15.75" thickBot="1">
      <c r="A192" s="286" t="s">
        <v>527</v>
      </c>
      <c r="B192" s="287">
        <f>D201-G219</f>
        <v>287.47822000000002</v>
      </c>
      <c r="C192" s="282" t="s">
        <v>84</v>
      </c>
      <c r="D192" s="275"/>
      <c r="E192" s="127"/>
      <c r="F192" s="580"/>
      <c r="G192" s="276"/>
      <c r="H192" s="127"/>
      <c r="I192" s="127"/>
      <c r="J192" s="127"/>
      <c r="K192" s="127"/>
      <c r="L192" s="127"/>
      <c r="M192" s="127"/>
      <c r="N192" s="127"/>
      <c r="O192" s="127"/>
      <c r="P192" s="127"/>
      <c r="Q192" s="127"/>
      <c r="R192" s="127"/>
      <c r="S192" s="127"/>
      <c r="T192" s="127"/>
      <c r="U192" s="127"/>
      <c r="V192" s="127"/>
      <c r="W192" s="127"/>
      <c r="X192" s="127"/>
      <c r="Y192" s="127"/>
      <c r="Z192" s="127"/>
      <c r="AA192" s="127"/>
      <c r="AB192" s="127"/>
      <c r="AC192" s="127"/>
      <c r="AD192" s="127"/>
      <c r="AE192" s="127"/>
      <c r="AF192" s="127"/>
      <c r="AG192" s="276"/>
      <c r="AH192" s="127"/>
      <c r="AI192" s="127"/>
      <c r="AJ192" s="127"/>
      <c r="AK192" s="127"/>
      <c r="AL192" s="127"/>
      <c r="AM192" s="127"/>
      <c r="AN192" s="127"/>
      <c r="AO192" s="127"/>
      <c r="AP192" s="127"/>
      <c r="AQ192" s="276"/>
    </row>
    <row r="193" spans="1:43" ht="13.5" thickBot="1"/>
    <row r="194" spans="1:43" ht="13.5" thickBot="1">
      <c r="A194" s="283" t="s">
        <v>382</v>
      </c>
      <c r="B194" s="284" t="s">
        <v>383</v>
      </c>
      <c r="C194" s="284" t="s">
        <v>385</v>
      </c>
      <c r="D194" s="285" t="s">
        <v>408</v>
      </c>
    </row>
    <row r="195" spans="1:43">
      <c r="A195" s="61"/>
      <c r="B195" s="82"/>
      <c r="C195" s="82"/>
      <c r="D195" s="82"/>
    </row>
    <row r="196" spans="1:43" ht="15">
      <c r="A196" s="67" t="s">
        <v>528</v>
      </c>
      <c r="B196" s="78">
        <f>P204</f>
        <v>31.825999999999997</v>
      </c>
      <c r="C196" s="78">
        <f>3-0.43+1</f>
        <v>3.57</v>
      </c>
      <c r="D196" s="79">
        <f>C196*B196</f>
        <v>113.61881999999999</v>
      </c>
      <c r="E196" s="75"/>
      <c r="F196" s="75"/>
      <c r="G196" s="75"/>
    </row>
    <row r="197" spans="1:43" ht="15.75" thickBot="1">
      <c r="A197" s="67" t="s">
        <v>530</v>
      </c>
      <c r="B197" s="78">
        <f>P205</f>
        <v>41.684000000000005</v>
      </c>
      <c r="C197" s="78">
        <f>3-0.15+1</f>
        <v>3.85</v>
      </c>
      <c r="D197" s="79">
        <f>C197*B197</f>
        <v>160.48340000000002</v>
      </c>
      <c r="E197" s="75"/>
      <c r="F197" s="75"/>
      <c r="G197" s="75"/>
    </row>
    <row r="198" spans="1:43" ht="15">
      <c r="A198" s="67" t="s">
        <v>530</v>
      </c>
      <c r="B198" s="78">
        <f>P206</f>
        <v>0</v>
      </c>
      <c r="C198" s="78">
        <v>1.2</v>
      </c>
      <c r="D198" s="79">
        <f>C198*B198</f>
        <v>0</v>
      </c>
      <c r="E198" s="75"/>
      <c r="F198" s="75"/>
      <c r="G198" s="75"/>
    </row>
    <row r="199" spans="1:43" ht="15">
      <c r="A199" s="67" t="s">
        <v>616</v>
      </c>
      <c r="B199" s="78">
        <f>P207</f>
        <v>9.2579999999999991</v>
      </c>
      <c r="C199" s="78">
        <v>2</v>
      </c>
      <c r="D199" s="79">
        <f>C199*B199</f>
        <v>18.515999999999998</v>
      </c>
      <c r="E199" s="75"/>
      <c r="F199" s="75"/>
      <c r="G199" s="75"/>
    </row>
    <row r="200" spans="1:43" ht="15.75" thickBot="1">
      <c r="A200" s="67"/>
      <c r="B200" s="78"/>
      <c r="C200" s="78"/>
      <c r="D200" s="79"/>
    </row>
    <row r="201" spans="1:43" ht="15.75" thickBot="1">
      <c r="A201" s="958" t="s">
        <v>393</v>
      </c>
      <c r="B201" s="959"/>
      <c r="C201" s="960"/>
      <c r="D201" s="77">
        <f>SUM(D195:D200)</f>
        <v>292.61822000000001</v>
      </c>
    </row>
    <row r="203" spans="1:43" ht="15.75" thickBot="1">
      <c r="A203" s="59" t="s">
        <v>531</v>
      </c>
    </row>
    <row r="204" spans="1:43" s="56" customFormat="1" ht="17.25" customHeight="1" thickBot="1">
      <c r="A204" s="764" t="str">
        <f>A196</f>
        <v>150mm outer wall (Beam Line)</v>
      </c>
      <c r="B204" s="765">
        <v>4.101</v>
      </c>
      <c r="C204" s="765">
        <v>5.3920000000000003</v>
      </c>
      <c r="D204" s="765">
        <v>1.9570000000000001</v>
      </c>
      <c r="E204" s="765">
        <v>2.1549999999999998</v>
      </c>
      <c r="F204" s="765">
        <v>1.9239999999999999</v>
      </c>
      <c r="G204" s="765">
        <v>1.64</v>
      </c>
      <c r="H204" s="765">
        <v>4.25</v>
      </c>
      <c r="I204" s="765">
        <v>3.8</v>
      </c>
      <c r="J204" s="765">
        <v>1.9</v>
      </c>
      <c r="K204" s="765">
        <v>2.2050000000000001</v>
      </c>
      <c r="L204" s="765">
        <v>2.5019999999999998</v>
      </c>
      <c r="M204" s="765">
        <v>0</v>
      </c>
      <c r="N204" s="765">
        <v>0</v>
      </c>
      <c r="O204" s="765">
        <v>0</v>
      </c>
      <c r="P204" s="282">
        <f>SUM(B204:O204)</f>
        <v>31.825999999999997</v>
      </c>
      <c r="Q204" s="127"/>
      <c r="R204" s="127"/>
      <c r="S204" s="127"/>
      <c r="T204" s="127"/>
      <c r="U204" s="127"/>
      <c r="V204" s="127"/>
      <c r="W204" s="127"/>
      <c r="X204" s="127"/>
      <c r="Y204" s="127"/>
      <c r="Z204" s="127"/>
      <c r="AA204" s="127"/>
      <c r="AB204" s="276"/>
      <c r="AC204" s="127"/>
      <c r="AD204" s="127"/>
      <c r="AE204" s="127"/>
      <c r="AF204" s="127"/>
      <c r="AG204" s="276"/>
      <c r="AH204" s="127"/>
      <c r="AI204" s="127"/>
      <c r="AJ204" s="127"/>
      <c r="AK204" s="127"/>
      <c r="AL204" s="127"/>
      <c r="AM204" s="127"/>
      <c r="AN204" s="127"/>
      <c r="AO204" s="127"/>
      <c r="AP204" s="127"/>
      <c r="AQ204" s="276"/>
    </row>
    <row r="205" spans="1:43" s="56" customFormat="1" ht="17.25" customHeight="1" thickBot="1">
      <c r="A205" s="764" t="str">
        <f>A197</f>
        <v>150mm outer wall (Slab Line)</v>
      </c>
      <c r="B205" s="765">
        <v>2.911</v>
      </c>
      <c r="C205" s="765">
        <v>1.3180000000000001</v>
      </c>
      <c r="D205" s="765">
        <v>3.524</v>
      </c>
      <c r="E205" s="770">
        <v>6.6260000000000003</v>
      </c>
      <c r="F205" s="765">
        <v>2.4500000000000002</v>
      </c>
      <c r="G205" s="765">
        <v>1.89</v>
      </c>
      <c r="H205" s="765">
        <v>1.84</v>
      </c>
      <c r="I205" s="765">
        <v>5.65</v>
      </c>
      <c r="J205" s="765">
        <v>5.55</v>
      </c>
      <c r="K205" s="765">
        <v>5.7249999999999996</v>
      </c>
      <c r="L205" s="765">
        <v>4.2</v>
      </c>
      <c r="M205" s="765">
        <v>0</v>
      </c>
      <c r="N205" s="765">
        <v>0</v>
      </c>
      <c r="O205" s="765">
        <v>0</v>
      </c>
      <c r="P205" s="282">
        <f>SUM(B205:O205)</f>
        <v>41.684000000000005</v>
      </c>
      <c r="Q205" s="127"/>
      <c r="R205" s="127"/>
      <c r="S205" s="127"/>
      <c r="T205" s="127"/>
      <c r="U205" s="127"/>
      <c r="V205" s="127"/>
      <c r="W205" s="127"/>
      <c r="X205" s="127"/>
      <c r="Y205" s="127"/>
      <c r="Z205" s="127"/>
      <c r="AA205" s="127"/>
      <c r="AB205" s="276"/>
      <c r="AC205" s="127"/>
      <c r="AD205" s="127"/>
      <c r="AE205" s="127"/>
      <c r="AF205" s="127"/>
      <c r="AG205" s="276"/>
      <c r="AH205" s="127"/>
      <c r="AI205" s="127"/>
      <c r="AJ205" s="127"/>
      <c r="AK205" s="127"/>
      <c r="AL205" s="127"/>
      <c r="AM205" s="127"/>
      <c r="AN205" s="127"/>
      <c r="AO205" s="127"/>
      <c r="AP205" s="127"/>
      <c r="AQ205" s="276"/>
    </row>
    <row r="206" spans="1:43" s="56" customFormat="1" ht="17.25" customHeight="1" thickBot="1">
      <c r="A206" s="764" t="str">
        <f>A198</f>
        <v>150mm outer wall (Slab Line)</v>
      </c>
      <c r="B206" s="765">
        <v>0</v>
      </c>
      <c r="C206" s="765">
        <v>0</v>
      </c>
      <c r="D206" s="765">
        <v>0</v>
      </c>
      <c r="E206" s="765">
        <v>0</v>
      </c>
      <c r="F206" s="765">
        <v>0</v>
      </c>
      <c r="G206" s="765">
        <v>0</v>
      </c>
      <c r="H206" s="765">
        <v>0</v>
      </c>
      <c r="I206" s="765">
        <v>0</v>
      </c>
      <c r="J206" s="765">
        <v>0</v>
      </c>
      <c r="K206" s="765">
        <v>0</v>
      </c>
      <c r="L206" s="765">
        <v>0</v>
      </c>
      <c r="M206" s="765">
        <v>0</v>
      </c>
      <c r="N206" s="765">
        <v>0</v>
      </c>
      <c r="O206" s="765">
        <v>0</v>
      </c>
      <c r="P206" s="282">
        <f>SUM(B206:O206)</f>
        <v>0</v>
      </c>
      <c r="Q206" s="127"/>
      <c r="R206" s="127"/>
      <c r="S206" s="127"/>
      <c r="T206" s="127"/>
      <c r="U206" s="127"/>
      <c r="V206" s="127"/>
      <c r="W206" s="127"/>
      <c r="X206" s="127"/>
      <c r="Y206" s="127"/>
      <c r="Z206" s="127"/>
      <c r="AA206" s="127"/>
      <c r="AB206" s="276"/>
      <c r="AC206" s="127"/>
      <c r="AD206" s="127"/>
      <c r="AE206" s="127"/>
      <c r="AF206" s="127"/>
      <c r="AG206" s="276"/>
      <c r="AH206" s="127"/>
      <c r="AI206" s="127"/>
      <c r="AJ206" s="127"/>
      <c r="AK206" s="127"/>
      <c r="AL206" s="127"/>
      <c r="AM206" s="127"/>
      <c r="AN206" s="127"/>
      <c r="AO206" s="127"/>
      <c r="AP206" s="127"/>
      <c r="AQ206" s="276"/>
    </row>
    <row r="207" spans="1:43" s="56" customFormat="1" ht="17.25" customHeight="1" thickBot="1">
      <c r="A207" s="764" t="str">
        <f>A199</f>
        <v>150mm - 2M wall</v>
      </c>
      <c r="B207" s="765">
        <v>3.5979999999999999</v>
      </c>
      <c r="C207" s="765">
        <v>3.76</v>
      </c>
      <c r="D207" s="765">
        <v>1.9</v>
      </c>
      <c r="E207" s="765">
        <v>0</v>
      </c>
      <c r="F207" s="765">
        <v>0</v>
      </c>
      <c r="G207" s="765">
        <v>0</v>
      </c>
      <c r="H207" s="765">
        <v>0</v>
      </c>
      <c r="I207" s="765">
        <v>0</v>
      </c>
      <c r="J207" s="765">
        <v>0</v>
      </c>
      <c r="K207" s="765">
        <v>0</v>
      </c>
      <c r="L207" s="765">
        <v>0</v>
      </c>
      <c r="M207" s="765">
        <v>0</v>
      </c>
      <c r="N207" s="765">
        <v>0</v>
      </c>
      <c r="O207" s="765">
        <v>0</v>
      </c>
      <c r="P207" s="282">
        <f>SUM(B207:O207)</f>
        <v>9.2579999999999991</v>
      </c>
      <c r="Q207" s="127"/>
      <c r="R207" s="127"/>
      <c r="S207" s="127"/>
      <c r="T207" s="127"/>
      <c r="U207" s="127"/>
      <c r="V207" s="127"/>
      <c r="W207" s="127"/>
      <c r="X207" s="127"/>
      <c r="Y207" s="127"/>
      <c r="Z207" s="127"/>
      <c r="AA207" s="127"/>
      <c r="AB207" s="276"/>
      <c r="AC207" s="127"/>
      <c r="AD207" s="127"/>
      <c r="AE207" s="127"/>
      <c r="AF207" s="127"/>
      <c r="AG207" s="276"/>
      <c r="AH207" s="127"/>
      <c r="AI207" s="127"/>
      <c r="AJ207" s="127"/>
      <c r="AK207" s="127"/>
      <c r="AL207" s="127"/>
      <c r="AM207" s="127"/>
      <c r="AN207" s="127"/>
      <c r="AO207" s="127"/>
      <c r="AP207" s="127"/>
      <c r="AQ207" s="276"/>
    </row>
    <row r="209" spans="1:16" ht="15.75" thickBot="1">
      <c r="A209" s="59" t="s">
        <v>447</v>
      </c>
    </row>
    <row r="210" spans="1:16" s="56" customFormat="1" ht="15.75" customHeight="1" thickBot="1">
      <c r="A210" s="310" t="s">
        <v>382</v>
      </c>
      <c r="B210" s="311" t="s">
        <v>82</v>
      </c>
      <c r="C210" s="311" t="s">
        <v>291</v>
      </c>
      <c r="D210" s="311" t="s">
        <v>384</v>
      </c>
      <c r="E210" s="311" t="s">
        <v>385</v>
      </c>
      <c r="F210" s="313" t="s">
        <v>409</v>
      </c>
      <c r="G210" s="314" t="s">
        <v>532</v>
      </c>
      <c r="H210" s="961" t="s">
        <v>533</v>
      </c>
      <c r="I210" s="962"/>
      <c r="J210" s="962"/>
      <c r="K210" s="962"/>
      <c r="L210" s="962"/>
      <c r="M210" s="962"/>
      <c r="N210" s="962"/>
      <c r="O210" s="963"/>
      <c r="P210" s="315" t="s">
        <v>532</v>
      </c>
    </row>
    <row r="211" spans="1:16">
      <c r="A211" s="61"/>
      <c r="B211" s="61"/>
      <c r="C211" s="61"/>
      <c r="D211" s="61"/>
      <c r="E211" s="61"/>
      <c r="F211" s="61"/>
      <c r="G211" s="61"/>
      <c r="N211" s="69"/>
      <c r="O211" s="70"/>
      <c r="P211" s="61"/>
    </row>
    <row r="212" spans="1:16" ht="15">
      <c r="A212" s="62" t="s">
        <v>534</v>
      </c>
      <c r="B212" s="309" t="s">
        <v>617</v>
      </c>
      <c r="C212" s="73">
        <f>P212</f>
        <v>1</v>
      </c>
      <c r="D212" s="73">
        <v>1.9</v>
      </c>
      <c r="E212" s="73">
        <v>1.6</v>
      </c>
      <c r="F212" s="79">
        <f>E212*D212</f>
        <v>3.04</v>
      </c>
      <c r="G212" s="79">
        <f>F212*C212</f>
        <v>3.04</v>
      </c>
      <c r="H212" s="102">
        <v>1</v>
      </c>
      <c r="I212" s="102">
        <v>0</v>
      </c>
      <c r="J212" s="102">
        <v>0</v>
      </c>
      <c r="K212" s="75">
        <v>0</v>
      </c>
      <c r="L212" s="75">
        <v>0</v>
      </c>
      <c r="M212" s="75">
        <v>0</v>
      </c>
      <c r="N212" s="75">
        <v>0</v>
      </c>
      <c r="O212" s="766">
        <v>0</v>
      </c>
      <c r="P212" s="79">
        <f>SUM(H212:O212)</f>
        <v>1</v>
      </c>
    </row>
    <row r="213" spans="1:16" ht="15">
      <c r="A213" s="63"/>
      <c r="B213" s="309"/>
      <c r="C213" s="73"/>
      <c r="D213" s="73"/>
      <c r="E213" s="73"/>
      <c r="F213" s="79"/>
      <c r="G213" s="79"/>
      <c r="H213" s="102"/>
      <c r="I213" s="102"/>
      <c r="J213" s="102"/>
      <c r="O213" s="217"/>
      <c r="P213" s="79"/>
    </row>
    <row r="214" spans="1:16" ht="15">
      <c r="A214" s="62" t="s">
        <v>538</v>
      </c>
      <c r="B214" s="309" t="s">
        <v>618</v>
      </c>
      <c r="C214" s="73">
        <f>P214</f>
        <v>3</v>
      </c>
      <c r="D214" s="73">
        <v>1</v>
      </c>
      <c r="E214" s="73">
        <v>0.7</v>
      </c>
      <c r="F214" s="79">
        <f t="shared" ref="F214:F217" si="46">E214*D214</f>
        <v>0.7</v>
      </c>
      <c r="G214" s="79">
        <f t="shared" ref="G214:G217" si="47">F214*C214</f>
        <v>2.0999999999999996</v>
      </c>
      <c r="H214" s="102">
        <v>1</v>
      </c>
      <c r="I214" s="75">
        <v>1</v>
      </c>
      <c r="J214" s="75">
        <v>1</v>
      </c>
      <c r="K214" s="75">
        <v>0</v>
      </c>
      <c r="L214" s="75">
        <v>0</v>
      </c>
      <c r="M214" s="75">
        <v>0</v>
      </c>
      <c r="N214" s="75">
        <v>0</v>
      </c>
      <c r="O214" s="766">
        <v>0</v>
      </c>
      <c r="P214" s="79">
        <f t="shared" ref="P214:P217" si="48">SUM(H214:O214)</f>
        <v>3</v>
      </c>
    </row>
    <row r="215" spans="1:16" ht="15">
      <c r="A215" s="598"/>
      <c r="B215" s="309" t="s">
        <v>543</v>
      </c>
      <c r="C215" s="73">
        <f>P215</f>
        <v>3</v>
      </c>
      <c r="D215" s="73">
        <v>2.335</v>
      </c>
      <c r="E215" s="73">
        <v>2.6</v>
      </c>
      <c r="F215" s="79">
        <f t="shared" si="46"/>
        <v>6.0709999999999997</v>
      </c>
      <c r="G215" s="79">
        <f t="shared" si="47"/>
        <v>18.213000000000001</v>
      </c>
      <c r="H215" s="102">
        <v>1</v>
      </c>
      <c r="I215" s="75">
        <v>1</v>
      </c>
      <c r="J215" s="75">
        <v>1</v>
      </c>
      <c r="K215" s="75">
        <v>0</v>
      </c>
      <c r="L215" s="75">
        <v>0</v>
      </c>
      <c r="M215" s="75">
        <v>0</v>
      </c>
      <c r="N215" s="75">
        <v>0</v>
      </c>
      <c r="O215" s="766">
        <v>0</v>
      </c>
      <c r="P215" s="79">
        <f t="shared" si="48"/>
        <v>3</v>
      </c>
    </row>
    <row r="216" spans="1:16" ht="15">
      <c r="A216" s="598"/>
      <c r="B216" s="309" t="s">
        <v>619</v>
      </c>
      <c r="C216" s="73">
        <f>P216</f>
        <v>3</v>
      </c>
      <c r="D216" s="73">
        <v>1.65</v>
      </c>
      <c r="E216" s="73">
        <v>2.25</v>
      </c>
      <c r="F216" s="79">
        <f t="shared" si="46"/>
        <v>3.7124999999999999</v>
      </c>
      <c r="G216" s="79">
        <f t="shared" si="47"/>
        <v>11.137499999999999</v>
      </c>
      <c r="H216" s="102">
        <v>1</v>
      </c>
      <c r="I216" s="75">
        <v>1</v>
      </c>
      <c r="J216" s="75">
        <v>1</v>
      </c>
      <c r="K216" s="75">
        <v>0</v>
      </c>
      <c r="L216" s="75">
        <v>0</v>
      </c>
      <c r="M216" s="75">
        <v>0</v>
      </c>
      <c r="N216" s="75">
        <v>0</v>
      </c>
      <c r="O216" s="766">
        <v>0</v>
      </c>
      <c r="P216" s="79">
        <f t="shared" si="48"/>
        <v>3</v>
      </c>
    </row>
    <row r="217" spans="1:16" ht="15">
      <c r="A217" s="598"/>
      <c r="B217" s="309" t="s">
        <v>620</v>
      </c>
      <c r="C217" s="73">
        <f>P217</f>
        <v>3</v>
      </c>
      <c r="D217" s="73">
        <v>1.1000000000000001</v>
      </c>
      <c r="E217" s="73">
        <v>2.25</v>
      </c>
      <c r="F217" s="79">
        <f t="shared" si="46"/>
        <v>2.4750000000000001</v>
      </c>
      <c r="G217" s="79">
        <f t="shared" si="47"/>
        <v>7.4250000000000007</v>
      </c>
      <c r="H217" s="102">
        <v>1</v>
      </c>
      <c r="I217" s="75">
        <v>1</v>
      </c>
      <c r="J217" s="75">
        <v>1</v>
      </c>
      <c r="K217" s="75">
        <v>0</v>
      </c>
      <c r="L217" s="75">
        <v>0</v>
      </c>
      <c r="M217" s="75">
        <v>0</v>
      </c>
      <c r="N217" s="75">
        <v>0</v>
      </c>
      <c r="O217" s="766">
        <v>0</v>
      </c>
      <c r="P217" s="79">
        <f t="shared" si="48"/>
        <v>3</v>
      </c>
    </row>
    <row r="218" spans="1:16" ht="15.75" thickBot="1">
      <c r="B218" s="309"/>
      <c r="C218" s="73"/>
      <c r="D218" s="73"/>
      <c r="E218" s="73"/>
      <c r="F218" s="79"/>
      <c r="G218" s="79"/>
      <c r="N218" s="280"/>
      <c r="O218" s="316"/>
      <c r="P218" s="79"/>
    </row>
    <row r="219" spans="1:16" ht="15.75" thickBot="1">
      <c r="A219" s="65"/>
      <c r="B219" s="955" t="s">
        <v>545</v>
      </c>
      <c r="C219" s="956"/>
      <c r="D219" s="956"/>
      <c r="E219" s="956"/>
      <c r="F219" s="957"/>
      <c r="G219" s="77">
        <f>SUM(G211:G214)</f>
        <v>5.14</v>
      </c>
      <c r="H219" s="293"/>
      <c r="I219" s="208"/>
      <c r="J219" s="208"/>
      <c r="K219" s="312"/>
      <c r="L219" s="312"/>
      <c r="M219" s="312"/>
      <c r="N219" s="312"/>
      <c r="O219" s="317"/>
      <c r="P219" s="77"/>
    </row>
    <row r="220" spans="1:16" ht="15">
      <c r="H220" s="102"/>
      <c r="I220" s="102"/>
      <c r="J220" s="102"/>
    </row>
    <row r="221" spans="1:16" ht="15">
      <c r="H221" s="102"/>
      <c r="I221" s="102"/>
      <c r="J221" s="102"/>
    </row>
    <row r="222" spans="1:16" ht="15.75" thickBot="1">
      <c r="A222" s="59" t="s">
        <v>546</v>
      </c>
    </row>
    <row r="223" spans="1:16" s="56" customFormat="1" ht="15.75" thickBot="1">
      <c r="A223" s="286" t="s">
        <v>547</v>
      </c>
      <c r="B223" s="287">
        <f>D231-H242+J242</f>
        <v>95.307899999999989</v>
      </c>
      <c r="C223" s="282" t="s">
        <v>84</v>
      </c>
      <c r="D223" s="275"/>
      <c r="E223" s="127"/>
      <c r="F223" s="127"/>
      <c r="G223" s="276"/>
      <c r="H223" s="127"/>
      <c r="I223" s="127"/>
      <c r="J223" s="277"/>
    </row>
    <row r="224" spans="1:16" ht="13.5" thickBot="1"/>
    <row r="225" spans="1:43" ht="15.75" thickBot="1">
      <c r="A225" s="283" t="s">
        <v>382</v>
      </c>
      <c r="B225" s="284" t="s">
        <v>383</v>
      </c>
      <c r="C225" s="284" t="s">
        <v>385</v>
      </c>
      <c r="D225" s="285" t="s">
        <v>408</v>
      </c>
      <c r="J225" s="102"/>
    </row>
    <row r="226" spans="1:43" ht="15">
      <c r="A226" s="61"/>
      <c r="B226" s="82"/>
      <c r="C226" s="82"/>
      <c r="D226" s="82"/>
      <c r="J226" s="102"/>
    </row>
    <row r="227" spans="1:43" ht="15">
      <c r="A227" s="67" t="s">
        <v>548</v>
      </c>
      <c r="B227" s="78">
        <f>M234</f>
        <v>16.765000000000001</v>
      </c>
      <c r="C227" s="78">
        <v>3</v>
      </c>
      <c r="D227" s="79">
        <f>C227*B227</f>
        <v>50.295000000000002</v>
      </c>
      <c r="E227" s="75" t="s">
        <v>549</v>
      </c>
      <c r="J227" s="102"/>
    </row>
    <row r="228" spans="1:43" ht="15">
      <c r="A228" s="67" t="s">
        <v>621</v>
      </c>
      <c r="B228" s="78">
        <f>M235</f>
        <v>9.2579999999999991</v>
      </c>
      <c r="C228" s="78">
        <v>4.1500000000000004</v>
      </c>
      <c r="D228" s="79">
        <f>C228*B228</f>
        <v>38.420699999999997</v>
      </c>
      <c r="J228" s="102"/>
    </row>
    <row r="229" spans="1:43" ht="15">
      <c r="A229" s="67" t="s">
        <v>622</v>
      </c>
      <c r="B229" s="78">
        <f>M236</f>
        <v>2.0680000000000001</v>
      </c>
      <c r="C229" s="78">
        <v>4.1500000000000004</v>
      </c>
      <c r="D229" s="79">
        <f>C229*B229</f>
        <v>8.5822000000000003</v>
      </c>
      <c r="J229" s="102"/>
    </row>
    <row r="230" spans="1:43" s="56" customFormat="1" ht="15.75" thickBot="1">
      <c r="A230" s="67"/>
      <c r="B230" s="78"/>
      <c r="C230" s="78"/>
      <c r="D230" s="79"/>
      <c r="E230" s="8"/>
      <c r="F230" s="8"/>
      <c r="G230" s="8"/>
      <c r="H230" s="8"/>
      <c r="I230" s="8"/>
      <c r="J230" s="127"/>
      <c r="K230" s="127"/>
      <c r="L230" s="127"/>
      <c r="M230" s="127"/>
      <c r="N230" s="127"/>
      <c r="O230" s="127"/>
      <c r="P230" s="127"/>
      <c r="Q230" s="127"/>
      <c r="R230" s="127"/>
      <c r="S230" s="127"/>
      <c r="T230" s="127"/>
      <c r="U230" s="127"/>
      <c r="V230" s="127"/>
      <c r="W230" s="127"/>
      <c r="X230" s="127"/>
      <c r="Y230" s="127"/>
      <c r="Z230" s="127"/>
      <c r="AA230" s="127"/>
      <c r="AB230" s="127"/>
      <c r="AC230" s="127"/>
      <c r="AD230" s="127"/>
      <c r="AE230" s="127"/>
      <c r="AF230" s="127"/>
      <c r="AG230" s="276"/>
      <c r="AH230" s="127"/>
      <c r="AI230" s="127"/>
      <c r="AJ230" s="127"/>
      <c r="AK230" s="127"/>
      <c r="AL230" s="127"/>
      <c r="AM230" s="127"/>
      <c r="AN230" s="127"/>
      <c r="AO230" s="127"/>
      <c r="AP230" s="127"/>
      <c r="AQ230" s="276"/>
    </row>
    <row r="231" spans="1:43" ht="15.75" thickBot="1">
      <c r="A231" s="958" t="s">
        <v>393</v>
      </c>
      <c r="B231" s="959"/>
      <c r="C231" s="960"/>
      <c r="D231" s="77">
        <f>SUM(D226:D230)</f>
        <v>97.297899999999998</v>
      </c>
    </row>
    <row r="233" spans="1:43" ht="15.75" thickBot="1">
      <c r="A233" s="59" t="s">
        <v>551</v>
      </c>
    </row>
    <row r="234" spans="1:43" ht="15.75" thickBot="1">
      <c r="A234" s="764" t="str">
        <f>A227</f>
        <v>Outer Wall - Full</v>
      </c>
      <c r="B234" s="765">
        <v>12.5</v>
      </c>
      <c r="C234" s="765">
        <v>2.2000000000000002</v>
      </c>
      <c r="D234" s="765">
        <v>2.0649999999999999</v>
      </c>
      <c r="E234" s="765">
        <v>0</v>
      </c>
      <c r="F234" s="765">
        <v>0</v>
      </c>
      <c r="G234" s="765">
        <v>0</v>
      </c>
      <c r="H234" s="765">
        <v>0</v>
      </c>
      <c r="I234" s="765">
        <v>0</v>
      </c>
      <c r="J234" s="765">
        <v>0</v>
      </c>
      <c r="K234" s="765">
        <v>0</v>
      </c>
      <c r="L234" s="765">
        <v>0</v>
      </c>
      <c r="M234" s="282">
        <f>SUM(B234:L234)</f>
        <v>16.765000000000001</v>
      </c>
    </row>
    <row r="235" spans="1:43" ht="15.75" thickBot="1">
      <c r="A235" s="764" t="str">
        <f>A228</f>
        <v xml:space="preserve">Outer wal - 2.0m </v>
      </c>
      <c r="B235" s="765">
        <v>3.5979999999999999</v>
      </c>
      <c r="C235" s="765">
        <v>3.76</v>
      </c>
      <c r="D235" s="765">
        <v>1.9</v>
      </c>
      <c r="E235" s="765">
        <v>0</v>
      </c>
      <c r="F235" s="765">
        <v>0</v>
      </c>
      <c r="G235" s="765">
        <v>0</v>
      </c>
      <c r="H235" s="765">
        <v>0</v>
      </c>
      <c r="I235" s="765">
        <v>0</v>
      </c>
      <c r="J235" s="765">
        <v>0</v>
      </c>
      <c r="K235" s="765">
        <v>0</v>
      </c>
      <c r="L235" s="765">
        <v>0</v>
      </c>
      <c r="M235" s="282">
        <f>SUM(B235:L235)</f>
        <v>9.2579999999999991</v>
      </c>
    </row>
    <row r="236" spans="1:43" ht="15.75" thickBot="1">
      <c r="A236" s="764" t="str">
        <f>A229</f>
        <v>Outer wal - 1.2M</v>
      </c>
      <c r="B236" s="765">
        <v>1.468</v>
      </c>
      <c r="C236" s="765">
        <v>0.6</v>
      </c>
      <c r="D236" s="765">
        <v>0</v>
      </c>
      <c r="E236" s="765">
        <v>0</v>
      </c>
      <c r="F236" s="765">
        <v>0</v>
      </c>
      <c r="G236" s="765">
        <v>0</v>
      </c>
      <c r="H236" s="765">
        <v>0</v>
      </c>
      <c r="I236" s="765">
        <v>0</v>
      </c>
      <c r="J236" s="765">
        <v>0</v>
      </c>
      <c r="K236" s="765">
        <v>0</v>
      </c>
      <c r="L236" s="765">
        <v>0</v>
      </c>
      <c r="M236" s="282">
        <f>SUM(B236:L236)</f>
        <v>2.0680000000000001</v>
      </c>
    </row>
    <row r="238" spans="1:43" ht="15.75" thickBot="1">
      <c r="A238" s="59" t="s">
        <v>552</v>
      </c>
    </row>
    <row r="239" spans="1:43" ht="15.75" customHeight="1" thickBot="1">
      <c r="A239" s="288" t="s">
        <v>382</v>
      </c>
      <c r="B239" s="289" t="s">
        <v>82</v>
      </c>
      <c r="C239" s="289" t="s">
        <v>291</v>
      </c>
      <c r="D239" s="289" t="s">
        <v>383</v>
      </c>
      <c r="E239" s="289" t="s">
        <v>384</v>
      </c>
      <c r="F239" s="289" t="s">
        <v>409</v>
      </c>
      <c r="G239" s="290" t="s">
        <v>532</v>
      </c>
      <c r="H239" s="291" t="s">
        <v>553</v>
      </c>
      <c r="I239" s="291" t="s">
        <v>554</v>
      </c>
      <c r="J239" s="292" t="s">
        <v>555</v>
      </c>
    </row>
    <row r="240" spans="1:43">
      <c r="A240" s="61"/>
      <c r="B240" s="61"/>
      <c r="C240" s="61"/>
      <c r="D240" s="61"/>
      <c r="E240" s="61"/>
      <c r="F240" s="294"/>
      <c r="G240" s="295"/>
      <c r="H240" s="63"/>
      <c r="I240" s="63"/>
      <c r="J240" s="63"/>
    </row>
    <row r="241" spans="1:12" ht="15.75" thickBot="1">
      <c r="A241" s="62" t="s">
        <v>534</v>
      </c>
      <c r="B241" s="72" t="str">
        <f>B212</f>
        <v>W03</v>
      </c>
      <c r="C241" s="72">
        <f>C212</f>
        <v>1</v>
      </c>
      <c r="D241" s="72">
        <f>D212</f>
        <v>1.9</v>
      </c>
      <c r="E241" s="72">
        <f>E212</f>
        <v>1.6</v>
      </c>
      <c r="F241" s="93">
        <f>E241*D241</f>
        <v>3.04</v>
      </c>
      <c r="G241" s="93">
        <f>F241*C241</f>
        <v>3.04</v>
      </c>
      <c r="H241" s="78">
        <f>G241</f>
        <v>3.04</v>
      </c>
      <c r="I241" s="78">
        <f>G241</f>
        <v>3.04</v>
      </c>
      <c r="J241" s="78">
        <f>(D241+E241+D241+E241)*C241*0.15</f>
        <v>1.05</v>
      </c>
    </row>
    <row r="242" spans="1:12" ht="15.75" thickBot="1">
      <c r="A242" s="65"/>
      <c r="B242" s="955" t="s">
        <v>545</v>
      </c>
      <c r="C242" s="956"/>
      <c r="D242" s="956"/>
      <c r="E242" s="956"/>
      <c r="F242" s="957"/>
      <c r="G242" s="293">
        <f>SUM(G240:G241)</f>
        <v>3.04</v>
      </c>
      <c r="H242" s="293">
        <f>SUM(H240:H241)</f>
        <v>3.04</v>
      </c>
      <c r="I242" s="293">
        <f>SUM(I240:I241)</f>
        <v>3.04</v>
      </c>
      <c r="J242" s="77">
        <f>SUM(J240:J241)</f>
        <v>1.05</v>
      </c>
      <c r="K242" s="75"/>
      <c r="L242" s="75"/>
    </row>
    <row r="243" spans="1:12" ht="15">
      <c r="A243" s="63"/>
      <c r="B243" s="72"/>
      <c r="C243" s="73"/>
      <c r="D243" s="73"/>
      <c r="E243" s="73"/>
      <c r="F243" s="93"/>
      <c r="G243" s="296"/>
      <c r="H243" s="78"/>
      <c r="I243" s="78"/>
      <c r="J243" s="78"/>
    </row>
    <row r="244" spans="1:12" s="56" customFormat="1" ht="15">
      <c r="A244" s="62" t="s">
        <v>538</v>
      </c>
      <c r="B244" s="72" t="str">
        <f t="shared" ref="B244:E247" si="49">B214</f>
        <v>W05</v>
      </c>
      <c r="C244" s="72">
        <f t="shared" si="49"/>
        <v>3</v>
      </c>
      <c r="D244" s="72">
        <f t="shared" si="49"/>
        <v>1</v>
      </c>
      <c r="E244" s="72">
        <f t="shared" si="49"/>
        <v>0.7</v>
      </c>
      <c r="F244" s="93">
        <f t="shared" ref="F244:F247" si="50">E244*D244</f>
        <v>0.7</v>
      </c>
      <c r="G244" s="93">
        <f t="shared" ref="G244:G247" si="51">F244*C244</f>
        <v>2.0999999999999996</v>
      </c>
      <c r="H244" s="78">
        <f>G244</f>
        <v>2.0999999999999996</v>
      </c>
      <c r="I244" s="78">
        <f>G244</f>
        <v>2.0999999999999996</v>
      </c>
      <c r="J244" s="78">
        <f>(D244+E244+D244+E244)*C244*0.15</f>
        <v>1.53</v>
      </c>
      <c r="K244" s="277"/>
      <c r="L244" s="277"/>
    </row>
    <row r="245" spans="1:12" s="56" customFormat="1" ht="15">
      <c r="A245" s="62"/>
      <c r="B245" s="72" t="str">
        <f t="shared" si="49"/>
        <v>SD01</v>
      </c>
      <c r="C245" s="72">
        <f t="shared" si="49"/>
        <v>3</v>
      </c>
      <c r="D245" s="72">
        <f t="shared" si="49"/>
        <v>2.335</v>
      </c>
      <c r="E245" s="72">
        <f t="shared" si="49"/>
        <v>2.6</v>
      </c>
      <c r="F245" s="93">
        <f t="shared" si="50"/>
        <v>6.0709999999999997</v>
      </c>
      <c r="G245" s="93">
        <f t="shared" si="51"/>
        <v>18.213000000000001</v>
      </c>
      <c r="H245" s="78">
        <f t="shared" ref="H245:H247" si="52">G245</f>
        <v>18.213000000000001</v>
      </c>
      <c r="I245" s="78">
        <f t="shared" ref="I245:I247" si="53">G245</f>
        <v>18.213000000000001</v>
      </c>
      <c r="J245" s="78">
        <f t="shared" ref="J245:J247" si="54">(D245+E245+D245+E245)*C245*0.15</f>
        <v>4.4415000000000004</v>
      </c>
      <c r="K245" s="277"/>
      <c r="L245" s="277"/>
    </row>
    <row r="246" spans="1:12" s="56" customFormat="1" ht="15">
      <c r="A246" s="62"/>
      <c r="B246" s="72" t="str">
        <f t="shared" si="49"/>
        <v>PD02</v>
      </c>
      <c r="C246" s="72">
        <f t="shared" si="49"/>
        <v>3</v>
      </c>
      <c r="D246" s="72">
        <f t="shared" si="49"/>
        <v>1.65</v>
      </c>
      <c r="E246" s="72">
        <f t="shared" si="49"/>
        <v>2.25</v>
      </c>
      <c r="F246" s="93">
        <f t="shared" si="50"/>
        <v>3.7124999999999999</v>
      </c>
      <c r="G246" s="93">
        <f t="shared" si="51"/>
        <v>11.137499999999999</v>
      </c>
      <c r="H246" s="78">
        <f t="shared" si="52"/>
        <v>11.137499999999999</v>
      </c>
      <c r="I246" s="78">
        <f t="shared" si="53"/>
        <v>11.137499999999999</v>
      </c>
      <c r="J246" s="78">
        <f t="shared" si="54"/>
        <v>3.51</v>
      </c>
      <c r="K246" s="277"/>
      <c r="L246" s="277"/>
    </row>
    <row r="247" spans="1:12" s="56" customFormat="1" ht="15">
      <c r="A247" s="62"/>
      <c r="B247" s="72" t="str">
        <f t="shared" si="49"/>
        <v>D04</v>
      </c>
      <c r="C247" s="72">
        <f t="shared" si="49"/>
        <v>3</v>
      </c>
      <c r="D247" s="72">
        <f t="shared" si="49"/>
        <v>1.1000000000000001</v>
      </c>
      <c r="E247" s="72">
        <f t="shared" si="49"/>
        <v>2.25</v>
      </c>
      <c r="F247" s="93">
        <f t="shared" si="50"/>
        <v>2.4750000000000001</v>
      </c>
      <c r="G247" s="93">
        <f t="shared" si="51"/>
        <v>7.4250000000000007</v>
      </c>
      <c r="H247" s="78">
        <f t="shared" si="52"/>
        <v>7.4250000000000007</v>
      </c>
      <c r="I247" s="78">
        <f t="shared" si="53"/>
        <v>7.4250000000000007</v>
      </c>
      <c r="J247" s="78">
        <f t="shared" si="54"/>
        <v>3.0150000000000001</v>
      </c>
      <c r="K247" s="277"/>
      <c r="L247" s="277"/>
    </row>
    <row r="248" spans="1:12" ht="15.75" thickBot="1">
      <c r="A248" s="63"/>
      <c r="B248" s="72"/>
      <c r="C248" s="73"/>
      <c r="D248" s="73"/>
      <c r="E248" s="73"/>
      <c r="F248" s="93"/>
      <c r="G248" s="296"/>
      <c r="H248" s="78"/>
      <c r="I248" s="78"/>
      <c r="J248" s="78"/>
      <c r="K248" s="75"/>
      <c r="L248" s="75"/>
    </row>
    <row r="249" spans="1:12" ht="15.75" thickBot="1">
      <c r="A249" s="65"/>
      <c r="B249" s="955" t="s">
        <v>545</v>
      </c>
      <c r="C249" s="956"/>
      <c r="D249" s="956"/>
      <c r="E249" s="956"/>
      <c r="F249" s="957"/>
      <c r="G249" s="293">
        <f>SUM(G243:G248)</f>
        <v>38.875500000000002</v>
      </c>
      <c r="H249" s="293">
        <f>SUM(H243:H248)</f>
        <v>38.875500000000002</v>
      </c>
      <c r="I249" s="293">
        <f>SUM(I243:I248)</f>
        <v>38.875500000000002</v>
      </c>
      <c r="J249" s="77">
        <f>SUM(J243:J248)</f>
        <v>12.496500000000001</v>
      </c>
      <c r="K249" s="75"/>
      <c r="L249" s="75"/>
    </row>
    <row r="250" spans="1:12">
      <c r="J250" s="75"/>
      <c r="K250" s="75"/>
      <c r="L250" s="75"/>
    </row>
    <row r="251" spans="1:12" ht="15.75" thickBot="1">
      <c r="A251" s="59" t="s">
        <v>556</v>
      </c>
      <c r="J251" s="75"/>
      <c r="K251" s="75"/>
      <c r="L251" s="75"/>
    </row>
    <row r="252" spans="1:12" ht="15.75" thickBot="1">
      <c r="A252" s="286" t="s">
        <v>557</v>
      </c>
      <c r="B252" s="297">
        <f>D258-I242-H249-I249+J249</f>
        <v>366.34247000000005</v>
      </c>
      <c r="C252" s="282" t="s">
        <v>84</v>
      </c>
      <c r="D252" s="127"/>
      <c r="E252" s="127"/>
      <c r="F252" s="127"/>
      <c r="G252" s="276"/>
      <c r="H252" s="127"/>
      <c r="I252" s="127"/>
      <c r="J252" s="75"/>
      <c r="K252" s="75"/>
      <c r="L252" s="75"/>
    </row>
    <row r="253" spans="1:12" ht="13.5" thickBot="1">
      <c r="J253" s="75"/>
      <c r="K253" s="75"/>
      <c r="L253" s="75"/>
    </row>
    <row r="254" spans="1:12" ht="13.5" thickBot="1">
      <c r="A254" s="283" t="s">
        <v>382</v>
      </c>
      <c r="B254" s="284" t="s">
        <v>383</v>
      </c>
      <c r="C254" s="284" t="s">
        <v>385</v>
      </c>
      <c r="D254" s="285" t="s">
        <v>408</v>
      </c>
      <c r="J254" s="75"/>
      <c r="K254" s="75"/>
      <c r="L254" s="75"/>
    </row>
    <row r="255" spans="1:12">
      <c r="A255" s="61"/>
      <c r="B255" s="82"/>
      <c r="C255" s="82"/>
      <c r="D255" s="82"/>
      <c r="J255" s="75"/>
      <c r="K255" s="75"/>
    </row>
    <row r="256" spans="1:12" ht="15">
      <c r="A256" s="67" t="s">
        <v>558</v>
      </c>
      <c r="B256" s="78">
        <f>P261</f>
        <v>152.5042</v>
      </c>
      <c r="C256" s="78">
        <v>2.85</v>
      </c>
      <c r="D256" s="79">
        <f>C256*B256</f>
        <v>434.63697000000002</v>
      </c>
      <c r="J256" s="102"/>
    </row>
    <row r="257" spans="1:43" ht="13.5" thickBot="1">
      <c r="A257" s="65"/>
      <c r="B257" s="80"/>
      <c r="C257" s="80"/>
      <c r="D257" s="80"/>
    </row>
    <row r="258" spans="1:43" s="56" customFormat="1" ht="15.75" thickBot="1">
      <c r="A258" s="958" t="s">
        <v>393</v>
      </c>
      <c r="B258" s="959"/>
      <c r="C258" s="960"/>
      <c r="D258" s="77">
        <f>SUM(D254:D257)</f>
        <v>434.63697000000002</v>
      </c>
      <c r="E258" s="8"/>
      <c r="F258" s="8"/>
      <c r="G258" s="8"/>
      <c r="H258" s="8"/>
      <c r="I258" s="8"/>
      <c r="J258" s="127"/>
      <c r="K258" s="127"/>
      <c r="L258" s="127"/>
      <c r="M258" s="127"/>
      <c r="N258" s="127"/>
      <c r="O258" s="127"/>
      <c r="P258" s="127"/>
      <c r="Q258" s="127"/>
      <c r="R258" s="127"/>
      <c r="S258" s="127"/>
      <c r="T258" s="127"/>
      <c r="U258" s="127"/>
      <c r="V258" s="127"/>
      <c r="W258" s="127"/>
      <c r="X258" s="127"/>
      <c r="Y258" s="127"/>
      <c r="Z258" s="127"/>
      <c r="AA258" s="127"/>
      <c r="AB258" s="127"/>
      <c r="AC258" s="127"/>
      <c r="AD258" s="127"/>
      <c r="AE258" s="127"/>
      <c r="AF258" s="127"/>
      <c r="AG258" s="276"/>
      <c r="AH258" s="127"/>
      <c r="AI258" s="127"/>
      <c r="AJ258" s="127"/>
      <c r="AK258" s="127"/>
      <c r="AL258" s="127"/>
      <c r="AM258" s="127"/>
      <c r="AN258" s="127"/>
      <c r="AO258" s="127"/>
      <c r="AP258" s="127"/>
      <c r="AQ258" s="276"/>
    </row>
    <row r="260" spans="1:43" ht="15.75" thickBot="1">
      <c r="A260" s="59" t="s">
        <v>551</v>
      </c>
    </row>
    <row r="261" spans="1:43" ht="15.75" thickBot="1">
      <c r="A261" s="764" t="str">
        <f>A256</f>
        <v>Internal Wall</v>
      </c>
      <c r="B261" s="765">
        <v>12.564</v>
      </c>
      <c r="C261" s="765">
        <v>19.850000000000001</v>
      </c>
      <c r="D261" s="765">
        <v>12</v>
      </c>
      <c r="E261" s="765">
        <v>19.625</v>
      </c>
      <c r="F261" s="765">
        <v>32.785200000000003</v>
      </c>
      <c r="G261" s="765">
        <v>11.98</v>
      </c>
      <c r="H261" s="765">
        <v>17.149999999999999</v>
      </c>
      <c r="I261" s="765">
        <v>7.91</v>
      </c>
      <c r="J261" s="765">
        <v>8.2439999999999998</v>
      </c>
      <c r="K261" s="765">
        <v>2.9159999999999999</v>
      </c>
      <c r="L261" s="765">
        <v>5.48</v>
      </c>
      <c r="M261" s="765">
        <v>2</v>
      </c>
      <c r="N261" s="765">
        <v>0</v>
      </c>
      <c r="O261" s="765">
        <v>0</v>
      </c>
      <c r="P261" s="77">
        <f>SUM(B261:O261)</f>
        <v>152.5042</v>
      </c>
    </row>
    <row r="262" spans="1:43" ht="15">
      <c r="J262" s="102"/>
    </row>
    <row r="263" spans="1:43" ht="15.75" thickBot="1">
      <c r="A263" s="59" t="s">
        <v>559</v>
      </c>
      <c r="J263" s="102"/>
      <c r="K263" s="75"/>
    </row>
    <row r="264" spans="1:43" ht="15.75" thickBot="1">
      <c r="A264" s="764" t="s">
        <v>560</v>
      </c>
      <c r="B264" s="767">
        <f>Y268</f>
        <v>118.69999999999999</v>
      </c>
      <c r="C264" s="599" t="s">
        <v>84</v>
      </c>
      <c r="D264" s="275"/>
      <c r="E264" s="127"/>
      <c r="F264" s="127"/>
      <c r="G264" s="276"/>
      <c r="H264" s="127"/>
      <c r="I264" s="127"/>
      <c r="J264" s="102"/>
    </row>
    <row r="265" spans="1:43" ht="15.75" thickBot="1">
      <c r="A265" s="764" t="s">
        <v>561</v>
      </c>
      <c r="B265" s="767">
        <f>Y269</f>
        <v>11</v>
      </c>
      <c r="C265" s="599" t="s">
        <v>84</v>
      </c>
      <c r="D265" s="275"/>
      <c r="E265" s="127"/>
      <c r="F265" s="127"/>
      <c r="G265" s="276"/>
      <c r="H265" s="127"/>
      <c r="I265" s="127"/>
      <c r="J265" s="102"/>
    </row>
    <row r="266" spans="1:43" ht="15">
      <c r="J266" s="102"/>
    </row>
    <row r="267" spans="1:43" ht="15.75" thickBot="1">
      <c r="A267" s="59" t="s">
        <v>562</v>
      </c>
      <c r="J267" s="102"/>
    </row>
    <row r="268" spans="1:43" ht="15.75" thickBot="1">
      <c r="A268" s="764" t="s">
        <v>562</v>
      </c>
      <c r="B268" s="765">
        <v>8.4</v>
      </c>
      <c r="C268" s="765">
        <v>17.850000000000001</v>
      </c>
      <c r="D268" s="765">
        <v>9.32</v>
      </c>
      <c r="E268" s="765">
        <v>7.8</v>
      </c>
      <c r="F268" s="765">
        <v>8.0500000000000007</v>
      </c>
      <c r="G268" s="91">
        <v>7.75</v>
      </c>
      <c r="H268" s="765">
        <v>17.27</v>
      </c>
      <c r="I268" s="765">
        <v>20.38</v>
      </c>
      <c r="J268" s="91">
        <v>17.02</v>
      </c>
      <c r="K268" s="765">
        <v>4.8600000000000003</v>
      </c>
      <c r="L268" s="765">
        <v>0</v>
      </c>
      <c r="M268" s="91">
        <v>0</v>
      </c>
      <c r="N268" s="765">
        <v>0</v>
      </c>
      <c r="O268" s="765">
        <v>0</v>
      </c>
      <c r="P268" s="91">
        <v>0</v>
      </c>
      <c r="Q268" s="765">
        <v>0</v>
      </c>
      <c r="R268" s="765">
        <v>0</v>
      </c>
      <c r="S268" s="91">
        <v>0</v>
      </c>
      <c r="T268" s="765">
        <v>0</v>
      </c>
      <c r="U268" s="765">
        <v>0</v>
      </c>
      <c r="V268" s="91">
        <v>0</v>
      </c>
      <c r="W268" s="765">
        <v>0</v>
      </c>
      <c r="X268" s="765">
        <v>0</v>
      </c>
      <c r="Y268" s="77">
        <f>SUM(B268:X268)</f>
        <v>118.69999999999999</v>
      </c>
    </row>
    <row r="269" spans="1:43" ht="15.75" thickBot="1">
      <c r="A269" s="764" t="str">
        <f>A265</f>
        <v>Stair screeding</v>
      </c>
      <c r="B269" s="765">
        <v>5.5</v>
      </c>
      <c r="C269" s="765">
        <v>5.5</v>
      </c>
      <c r="D269" s="765">
        <v>0</v>
      </c>
      <c r="E269" s="765">
        <v>0</v>
      </c>
      <c r="F269" s="765">
        <v>0</v>
      </c>
      <c r="G269" s="91">
        <v>0</v>
      </c>
      <c r="H269" s="765">
        <v>0</v>
      </c>
      <c r="I269" s="765">
        <v>0</v>
      </c>
      <c r="J269" s="91">
        <v>0</v>
      </c>
      <c r="K269" s="765">
        <v>0</v>
      </c>
      <c r="L269" s="765">
        <v>0</v>
      </c>
      <c r="M269" s="91">
        <v>0</v>
      </c>
      <c r="N269" s="765">
        <v>0</v>
      </c>
      <c r="O269" s="765">
        <v>0</v>
      </c>
      <c r="P269" s="91">
        <v>0</v>
      </c>
      <c r="Q269" s="765">
        <v>0</v>
      </c>
      <c r="R269" s="765">
        <v>0</v>
      </c>
      <c r="S269" s="91">
        <v>0</v>
      </c>
      <c r="T269" s="765">
        <v>0</v>
      </c>
      <c r="U269" s="765">
        <v>0</v>
      </c>
      <c r="V269" s="91">
        <v>0</v>
      </c>
      <c r="W269" s="765">
        <v>0</v>
      </c>
      <c r="X269" s="765">
        <v>0</v>
      </c>
      <c r="Y269" s="77">
        <f>SUM(B269:X269)</f>
        <v>11</v>
      </c>
    </row>
    <row r="271" spans="1:43" ht="15.75" thickBot="1">
      <c r="A271" s="59" t="s">
        <v>563</v>
      </c>
    </row>
    <row r="272" spans="1:43" ht="15.75" thickBot="1">
      <c r="A272" s="326" t="s">
        <v>564</v>
      </c>
      <c r="B272" s="297">
        <f>B223</f>
        <v>95.307899999999989</v>
      </c>
      <c r="C272" s="599" t="s">
        <v>84</v>
      </c>
    </row>
    <row r="273" spans="1:43" ht="15.75" thickBot="1">
      <c r="A273" s="326" t="s">
        <v>565</v>
      </c>
      <c r="B273" s="297">
        <f>B252</f>
        <v>366.34247000000005</v>
      </c>
      <c r="C273" s="599" t="s">
        <v>84</v>
      </c>
    </row>
    <row r="274" spans="1:43" ht="15.75" thickBot="1">
      <c r="A274" s="326" t="s">
        <v>566</v>
      </c>
      <c r="B274" s="297">
        <f>Y277</f>
        <v>125.19999999999999</v>
      </c>
      <c r="C274" s="599" t="s">
        <v>84</v>
      </c>
    </row>
    <row r="276" spans="1:43" ht="15.75" thickBot="1">
      <c r="A276" s="59" t="s">
        <v>566</v>
      </c>
      <c r="J276" s="102"/>
    </row>
    <row r="277" spans="1:43" ht="15.75" thickBot="1">
      <c r="A277" s="764" t="str">
        <f>A274</f>
        <v>Ceiling Paiting</v>
      </c>
      <c r="B277" s="765">
        <v>8.4</v>
      </c>
      <c r="C277" s="765">
        <v>17.850000000000001</v>
      </c>
      <c r="D277" s="765">
        <v>9.32</v>
      </c>
      <c r="E277" s="765">
        <v>7.8</v>
      </c>
      <c r="F277" s="765">
        <v>8.0500000000000007</v>
      </c>
      <c r="G277" s="91">
        <v>7.75</v>
      </c>
      <c r="H277" s="765">
        <v>17.27</v>
      </c>
      <c r="I277" s="765">
        <v>20.38</v>
      </c>
      <c r="J277" s="91">
        <v>17.02</v>
      </c>
      <c r="K277" s="765">
        <v>4.8600000000000003</v>
      </c>
      <c r="L277" s="765">
        <v>6.5</v>
      </c>
      <c r="M277" s="91">
        <v>0</v>
      </c>
      <c r="N277" s="765">
        <v>0</v>
      </c>
      <c r="O277" s="765">
        <v>0</v>
      </c>
      <c r="P277" s="91">
        <v>0</v>
      </c>
      <c r="Q277" s="765">
        <v>0</v>
      </c>
      <c r="R277" s="765">
        <v>0</v>
      </c>
      <c r="S277" s="91">
        <v>0</v>
      </c>
      <c r="T277" s="765">
        <v>0</v>
      </c>
      <c r="U277" s="765">
        <v>0</v>
      </c>
      <c r="V277" s="91">
        <v>0</v>
      </c>
      <c r="W277" s="765">
        <v>0</v>
      </c>
      <c r="X277" s="765">
        <v>0</v>
      </c>
      <c r="Y277" s="77">
        <f>SUM(B277:X277)</f>
        <v>125.19999999999999</v>
      </c>
    </row>
    <row r="279" spans="1:43" ht="15.75" thickBot="1">
      <c r="A279" s="59" t="s">
        <v>567</v>
      </c>
    </row>
    <row r="280" spans="1:43" ht="13.5" thickBot="1">
      <c r="A280" s="298" t="s">
        <v>568</v>
      </c>
      <c r="B280" s="90">
        <f>F285</f>
        <v>52.14</v>
      </c>
      <c r="C280" s="600" t="s">
        <v>84</v>
      </c>
    </row>
    <row r="281" spans="1:43" s="56" customFormat="1" ht="15.75" thickBot="1">
      <c r="A281" s="299" t="s">
        <v>382</v>
      </c>
      <c r="B281" s="300" t="s">
        <v>569</v>
      </c>
      <c r="C281" s="300" t="s">
        <v>409</v>
      </c>
      <c r="D281" s="300" t="s">
        <v>570</v>
      </c>
      <c r="E281" s="300" t="s">
        <v>571</v>
      </c>
      <c r="F281" s="301" t="s">
        <v>572</v>
      </c>
      <c r="G281" s="10"/>
      <c r="H281" s="8"/>
      <c r="I281" s="8"/>
      <c r="J281" s="127"/>
      <c r="K281" s="127"/>
      <c r="L281" s="127"/>
      <c r="M281" s="127"/>
      <c r="N281" s="127"/>
      <c r="O281" s="127"/>
      <c r="P281" s="127"/>
      <c r="Q281" s="127"/>
      <c r="R281" s="127"/>
      <c r="S281" s="127"/>
      <c r="T281" s="127"/>
      <c r="U281" s="127"/>
      <c r="V281" s="127"/>
      <c r="W281" s="127"/>
      <c r="X281" s="127"/>
      <c r="Y281" s="127"/>
      <c r="Z281" s="127"/>
      <c r="AA281" s="127"/>
      <c r="AB281" s="127"/>
      <c r="AC281" s="127"/>
      <c r="AD281" s="127"/>
      <c r="AE281" s="127"/>
      <c r="AF281" s="127"/>
      <c r="AG281" s="276"/>
      <c r="AH281" s="127"/>
      <c r="AI281" s="127"/>
      <c r="AJ281" s="127"/>
      <c r="AK281" s="127"/>
      <c r="AL281" s="127"/>
      <c r="AM281" s="127"/>
      <c r="AN281" s="127"/>
      <c r="AO281" s="127"/>
      <c r="AP281" s="127"/>
      <c r="AQ281" s="276"/>
    </row>
    <row r="282" spans="1:43">
      <c r="A282" s="61"/>
      <c r="B282" s="61"/>
      <c r="C282" s="61"/>
      <c r="D282" s="61"/>
      <c r="E282" s="61"/>
      <c r="F282" s="61"/>
    </row>
    <row r="283" spans="1:43" ht="15">
      <c r="A283" s="68" t="s">
        <v>573</v>
      </c>
      <c r="B283" s="64" t="s">
        <v>574</v>
      </c>
      <c r="C283" s="78">
        <f>Q288</f>
        <v>52.14</v>
      </c>
      <c r="D283" s="78">
        <f>Q289</f>
        <v>0</v>
      </c>
      <c r="E283" s="78">
        <f>0.1*D283</f>
        <v>0</v>
      </c>
      <c r="F283" s="79">
        <f>E283+C283</f>
        <v>52.14</v>
      </c>
      <c r="G283" s="60"/>
    </row>
    <row r="284" spans="1:43" s="56" customFormat="1" ht="15.75" thickBot="1">
      <c r="A284" s="68"/>
      <c r="B284" s="64"/>
      <c r="C284" s="78"/>
      <c r="D284" s="78"/>
      <c r="E284" s="78"/>
      <c r="F284" s="79"/>
      <c r="G284" s="60"/>
      <c r="H284" s="8"/>
      <c r="I284" s="8"/>
      <c r="J284" s="127"/>
      <c r="K284" s="127"/>
      <c r="L284" s="127"/>
      <c r="M284" s="127"/>
      <c r="N284" s="127"/>
      <c r="O284" s="127"/>
      <c r="P284" s="127"/>
      <c r="Q284" s="127"/>
      <c r="R284" s="127"/>
      <c r="S284" s="127"/>
      <c r="T284" s="127"/>
      <c r="U284" s="127"/>
      <c r="V284" s="127"/>
      <c r="W284" s="127"/>
      <c r="X284" s="127"/>
      <c r="Y284" s="127"/>
      <c r="Z284" s="127"/>
      <c r="AA284" s="127"/>
      <c r="AB284" s="127"/>
      <c r="AC284" s="127"/>
      <c r="AD284" s="127"/>
      <c r="AE284" s="127"/>
      <c r="AF284" s="127"/>
      <c r="AG284" s="276"/>
      <c r="AH284" s="127"/>
      <c r="AI284" s="127"/>
      <c r="AJ284" s="127"/>
      <c r="AK284" s="127"/>
      <c r="AL284" s="127"/>
      <c r="AM284" s="127"/>
      <c r="AN284" s="127"/>
      <c r="AO284" s="127"/>
      <c r="AP284" s="127"/>
      <c r="AQ284" s="276"/>
    </row>
    <row r="285" spans="1:43" ht="13.5" thickBot="1">
      <c r="A285" s="964" t="s">
        <v>393</v>
      </c>
      <c r="B285" s="965"/>
      <c r="C285" s="965"/>
      <c r="D285" s="965"/>
      <c r="E285" s="966"/>
      <c r="F285" s="111">
        <f>SUM(F283:F284)</f>
        <v>52.14</v>
      </c>
    </row>
    <row r="287" spans="1:43" ht="15.75" thickBot="1">
      <c r="A287" s="59" t="s">
        <v>575</v>
      </c>
    </row>
    <row r="288" spans="1:43" ht="15">
      <c r="A288" s="764" t="s">
        <v>576</v>
      </c>
      <c r="B288" s="765">
        <v>17.850000000000001</v>
      </c>
      <c r="C288" s="765">
        <v>17.27</v>
      </c>
      <c r="D288" s="765">
        <v>17.02</v>
      </c>
      <c r="E288" s="765">
        <v>0</v>
      </c>
      <c r="F288" s="765">
        <v>0</v>
      </c>
      <c r="G288" s="765">
        <v>0</v>
      </c>
      <c r="H288" s="765">
        <v>0</v>
      </c>
      <c r="I288" s="765">
        <v>0</v>
      </c>
      <c r="J288" s="765">
        <v>0</v>
      </c>
      <c r="K288" s="765">
        <v>0</v>
      </c>
      <c r="L288" s="765">
        <v>0</v>
      </c>
      <c r="M288" s="765">
        <v>0</v>
      </c>
      <c r="N288" s="765">
        <v>0</v>
      </c>
      <c r="O288" s="765">
        <v>0</v>
      </c>
      <c r="P288" s="765">
        <v>0</v>
      </c>
      <c r="Q288" s="302">
        <f>SUM(B288:P288)</f>
        <v>52.14</v>
      </c>
    </row>
    <row r="289" spans="1:43" ht="15.75" thickBot="1">
      <c r="A289" s="764" t="s">
        <v>570</v>
      </c>
      <c r="B289" s="765">
        <v>0</v>
      </c>
      <c r="C289" s="765">
        <v>0</v>
      </c>
      <c r="D289" s="765">
        <v>0</v>
      </c>
      <c r="E289" s="765">
        <v>0</v>
      </c>
      <c r="F289" s="765">
        <v>0</v>
      </c>
      <c r="G289" s="765">
        <v>0</v>
      </c>
      <c r="H289" s="765">
        <v>0</v>
      </c>
      <c r="I289" s="765">
        <v>0</v>
      </c>
      <c r="J289" s="765">
        <v>0</v>
      </c>
      <c r="K289" s="765">
        <v>0</v>
      </c>
      <c r="L289" s="765">
        <v>0</v>
      </c>
      <c r="M289" s="765">
        <v>0</v>
      </c>
      <c r="N289" s="765">
        <v>0</v>
      </c>
      <c r="O289" s="765">
        <v>0</v>
      </c>
      <c r="P289" s="765">
        <v>0</v>
      </c>
      <c r="Q289" s="303">
        <f>SUM(B289:P289)</f>
        <v>0</v>
      </c>
    </row>
    <row r="290" spans="1:43" ht="13.5" thickBot="1"/>
    <row r="291" spans="1:43" ht="13.5" thickBot="1">
      <c r="A291" s="298" t="s">
        <v>623</v>
      </c>
      <c r="B291" s="90">
        <f>F296</f>
        <v>20.085000000000001</v>
      </c>
      <c r="C291" s="600" t="s">
        <v>84</v>
      </c>
    </row>
    <row r="292" spans="1:43" s="56" customFormat="1" ht="15.75" thickBot="1">
      <c r="A292" s="299" t="s">
        <v>382</v>
      </c>
      <c r="B292" s="300" t="s">
        <v>569</v>
      </c>
      <c r="C292" s="300" t="s">
        <v>409</v>
      </c>
      <c r="D292" s="300" t="s">
        <v>570</v>
      </c>
      <c r="E292" s="300" t="s">
        <v>571</v>
      </c>
      <c r="F292" s="301" t="s">
        <v>572</v>
      </c>
      <c r="G292" s="10"/>
      <c r="H292" s="8"/>
      <c r="I292" s="8"/>
      <c r="J292" s="127"/>
      <c r="K292" s="127"/>
      <c r="L292" s="127"/>
      <c r="M292" s="127"/>
      <c r="N292" s="127"/>
      <c r="O292" s="127"/>
      <c r="P292" s="127"/>
      <c r="Q292" s="127"/>
      <c r="R292" s="127"/>
      <c r="S292" s="127"/>
      <c r="T292" s="127"/>
      <c r="U292" s="127"/>
      <c r="V292" s="127"/>
      <c r="W292" s="127"/>
      <c r="X292" s="127"/>
      <c r="Y292" s="127"/>
      <c r="Z292" s="127"/>
      <c r="AA292" s="127"/>
      <c r="AB292" s="127"/>
      <c r="AC292" s="127"/>
      <c r="AD292" s="127"/>
      <c r="AE292" s="127"/>
      <c r="AF292" s="127"/>
      <c r="AG292" s="276"/>
      <c r="AH292" s="127"/>
      <c r="AI292" s="127"/>
      <c r="AJ292" s="127"/>
      <c r="AK292" s="127"/>
      <c r="AL292" s="127"/>
      <c r="AM292" s="127"/>
      <c r="AN292" s="127"/>
      <c r="AO292" s="127"/>
      <c r="AP292" s="127"/>
      <c r="AQ292" s="276"/>
    </row>
    <row r="293" spans="1:43">
      <c r="A293" s="61"/>
      <c r="B293" s="61"/>
      <c r="C293" s="61"/>
      <c r="D293" s="61"/>
      <c r="E293" s="61"/>
      <c r="F293" s="61"/>
    </row>
    <row r="294" spans="1:43" ht="15">
      <c r="A294" s="68" t="s">
        <v>573</v>
      </c>
      <c r="B294" s="64" t="s">
        <v>574</v>
      </c>
      <c r="C294" s="78">
        <f>Q299</f>
        <v>20.085000000000001</v>
      </c>
      <c r="D294" s="78">
        <f>Q300</f>
        <v>0</v>
      </c>
      <c r="E294" s="78">
        <f>0.1*D294</f>
        <v>0</v>
      </c>
      <c r="F294" s="79">
        <f>E294+C294</f>
        <v>20.085000000000001</v>
      </c>
      <c r="G294" s="60"/>
    </row>
    <row r="295" spans="1:43" s="56" customFormat="1" ht="15.75" thickBot="1">
      <c r="A295" s="68"/>
      <c r="B295" s="64"/>
      <c r="C295" s="78"/>
      <c r="D295" s="78"/>
      <c r="E295" s="78"/>
      <c r="F295" s="79"/>
      <c r="G295" s="60"/>
      <c r="H295" s="8"/>
      <c r="I295" s="8"/>
      <c r="J295" s="127"/>
      <c r="K295" s="127"/>
      <c r="L295" s="127"/>
      <c r="M295" s="127"/>
      <c r="N295" s="127"/>
      <c r="O295" s="127"/>
      <c r="P295" s="127"/>
      <c r="Q295" s="127"/>
      <c r="R295" s="127"/>
      <c r="S295" s="127"/>
      <c r="T295" s="127"/>
      <c r="U295" s="127"/>
      <c r="V295" s="127"/>
      <c r="W295" s="127"/>
      <c r="X295" s="127"/>
      <c r="Y295" s="127"/>
      <c r="Z295" s="127"/>
      <c r="AA295" s="127"/>
      <c r="AB295" s="127"/>
      <c r="AC295" s="127"/>
      <c r="AD295" s="127"/>
      <c r="AE295" s="127"/>
      <c r="AF295" s="127"/>
      <c r="AG295" s="276"/>
      <c r="AH295" s="127"/>
      <c r="AI295" s="127"/>
      <c r="AJ295" s="127"/>
      <c r="AK295" s="127"/>
      <c r="AL295" s="127"/>
      <c r="AM295" s="127"/>
      <c r="AN295" s="127"/>
      <c r="AO295" s="127"/>
      <c r="AP295" s="127"/>
      <c r="AQ295" s="276"/>
    </row>
    <row r="296" spans="1:43" ht="13.5" thickBot="1">
      <c r="A296" s="964" t="s">
        <v>393</v>
      </c>
      <c r="B296" s="965"/>
      <c r="C296" s="965"/>
      <c r="D296" s="965"/>
      <c r="E296" s="966"/>
      <c r="F296" s="111">
        <f>SUM(F294:F295)</f>
        <v>20.085000000000001</v>
      </c>
    </row>
    <row r="298" spans="1:43" ht="15.75" thickBot="1">
      <c r="A298" s="59" t="s">
        <v>575</v>
      </c>
    </row>
    <row r="299" spans="1:43" ht="15">
      <c r="A299" s="764" t="s">
        <v>576</v>
      </c>
      <c r="B299" s="765">
        <v>9.3149999999999995</v>
      </c>
      <c r="C299" s="765">
        <v>7.33</v>
      </c>
      <c r="D299" s="765">
        <v>3.44</v>
      </c>
      <c r="E299" s="765">
        <v>0</v>
      </c>
      <c r="F299" s="765">
        <v>0</v>
      </c>
      <c r="G299" s="765">
        <v>0</v>
      </c>
      <c r="H299" s="765">
        <v>0</v>
      </c>
      <c r="I299" s="765">
        <v>0</v>
      </c>
      <c r="J299" s="765">
        <v>0</v>
      </c>
      <c r="K299" s="765">
        <v>0</v>
      </c>
      <c r="L299" s="765">
        <v>0</v>
      </c>
      <c r="M299" s="765">
        <v>0</v>
      </c>
      <c r="N299" s="765">
        <v>0</v>
      </c>
      <c r="O299" s="765">
        <v>0</v>
      </c>
      <c r="P299" s="765">
        <v>0</v>
      </c>
      <c r="Q299" s="302">
        <f>SUM(B299:P299)</f>
        <v>20.085000000000001</v>
      </c>
    </row>
    <row r="300" spans="1:43" ht="15.75" thickBot="1">
      <c r="A300" s="764" t="s">
        <v>570</v>
      </c>
      <c r="B300" s="765">
        <v>0</v>
      </c>
      <c r="C300" s="765">
        <v>0</v>
      </c>
      <c r="D300" s="765">
        <v>0</v>
      </c>
      <c r="E300" s="765">
        <v>0</v>
      </c>
      <c r="F300" s="765">
        <v>0</v>
      </c>
      <c r="G300" s="765">
        <v>0</v>
      </c>
      <c r="H300" s="765">
        <v>0</v>
      </c>
      <c r="I300" s="765">
        <v>0</v>
      </c>
      <c r="J300" s="765">
        <v>0</v>
      </c>
      <c r="K300" s="765">
        <v>0</v>
      </c>
      <c r="L300" s="765">
        <v>0</v>
      </c>
      <c r="M300" s="765">
        <v>0</v>
      </c>
      <c r="N300" s="765">
        <v>0</v>
      </c>
      <c r="O300" s="765">
        <v>0</v>
      </c>
      <c r="P300" s="765">
        <v>0</v>
      </c>
      <c r="Q300" s="303">
        <f>SUM(B300:P300)</f>
        <v>0</v>
      </c>
    </row>
    <row r="302" spans="1:43" ht="13.5" thickBot="1"/>
    <row r="303" spans="1:43" ht="13.5" thickBot="1">
      <c r="A303" s="298" t="s">
        <v>577</v>
      </c>
      <c r="B303" s="90">
        <f>D308</f>
        <v>23.66</v>
      </c>
      <c r="C303" s="83" t="s">
        <v>84</v>
      </c>
    </row>
    <row r="304" spans="1:43" ht="13.5" thickBot="1">
      <c r="A304" s="283" t="s">
        <v>382</v>
      </c>
      <c r="B304" s="284" t="s">
        <v>569</v>
      </c>
      <c r="C304" s="284" t="s">
        <v>409</v>
      </c>
      <c r="D304" s="285" t="s">
        <v>572</v>
      </c>
      <c r="E304" s="10"/>
    </row>
    <row r="305" spans="1:43" ht="15">
      <c r="A305" s="84" t="s">
        <v>578</v>
      </c>
      <c r="B305" s="66" t="s">
        <v>579</v>
      </c>
      <c r="C305" s="82">
        <f>K311</f>
        <v>23.66</v>
      </c>
      <c r="D305" s="88">
        <f>C305</f>
        <v>23.66</v>
      </c>
      <c r="E305" s="60"/>
    </row>
    <row r="306" spans="1:43" ht="15">
      <c r="A306" s="68"/>
      <c r="B306" s="85"/>
      <c r="C306" s="78"/>
      <c r="D306" s="79"/>
      <c r="E306" s="60"/>
    </row>
    <row r="307" spans="1:43" ht="15.75" thickBot="1">
      <c r="A307" s="68"/>
      <c r="B307" s="85"/>
      <c r="C307" s="78"/>
      <c r="D307" s="79"/>
      <c r="E307" s="60"/>
    </row>
    <row r="308" spans="1:43" ht="13.5" thickBot="1">
      <c r="A308" s="967" t="s">
        <v>393</v>
      </c>
      <c r="B308" s="959"/>
      <c r="C308" s="960"/>
      <c r="D308" s="111">
        <f>SUM(D305:D307)</f>
        <v>23.66</v>
      </c>
    </row>
    <row r="309" spans="1:43" s="56" customFormat="1" ht="15">
      <c r="A309" s="8"/>
      <c r="B309" s="8"/>
      <c r="C309" s="8"/>
      <c r="D309" s="8"/>
      <c r="E309" s="8"/>
      <c r="F309" s="8"/>
      <c r="G309" s="8"/>
      <c r="H309" s="8"/>
      <c r="I309" s="8"/>
      <c r="AH309" s="127"/>
      <c r="AI309" s="127"/>
      <c r="AJ309" s="127"/>
      <c r="AK309" s="127"/>
      <c r="AL309" s="127"/>
      <c r="AM309" s="127"/>
      <c r="AN309" s="127"/>
      <c r="AO309" s="127"/>
      <c r="AP309" s="127"/>
      <c r="AQ309" s="276"/>
    </row>
    <row r="310" spans="1:43" ht="15.75" thickBot="1">
      <c r="A310" s="59" t="s">
        <v>575</v>
      </c>
    </row>
    <row r="311" spans="1:43" ht="15.75" thickBot="1">
      <c r="A311" s="764" t="s">
        <v>576</v>
      </c>
      <c r="B311" s="765">
        <v>8.1300000000000008</v>
      </c>
      <c r="C311" s="765">
        <v>7.78</v>
      </c>
      <c r="D311" s="765">
        <v>7.75</v>
      </c>
      <c r="E311" s="765">
        <v>0</v>
      </c>
      <c r="F311" s="765">
        <v>0</v>
      </c>
      <c r="G311" s="765">
        <v>0</v>
      </c>
      <c r="H311" s="765">
        <v>0</v>
      </c>
      <c r="I311" s="765">
        <v>0</v>
      </c>
      <c r="J311" s="765">
        <v>0</v>
      </c>
      <c r="K311" s="282">
        <f>SUM(B311:J311)</f>
        <v>23.66</v>
      </c>
      <c r="L311" s="278"/>
      <c r="M311" s="127"/>
      <c r="N311" s="127"/>
      <c r="O311" s="127"/>
      <c r="P311" s="127"/>
      <c r="Q311" s="127"/>
      <c r="R311" s="127"/>
      <c r="S311" s="127"/>
      <c r="T311" s="127"/>
      <c r="U311" s="127"/>
      <c r="V311" s="127"/>
      <c r="W311" s="127"/>
      <c r="X311" s="127"/>
      <c r="Y311" s="127"/>
      <c r="Z311" s="127"/>
      <c r="AA311" s="127"/>
      <c r="AB311" s="127"/>
      <c r="AC311" s="127"/>
      <c r="AD311" s="127"/>
      <c r="AE311" s="127"/>
      <c r="AF311" s="127"/>
    </row>
    <row r="313" spans="1:43" ht="13.5" thickBot="1"/>
    <row r="314" spans="1:43" ht="13.5" thickBot="1">
      <c r="A314" s="304" t="s">
        <v>580</v>
      </c>
      <c r="B314" s="86">
        <f>E320</f>
        <v>87.33</v>
      </c>
      <c r="C314" s="87" t="s">
        <v>84</v>
      </c>
    </row>
    <row r="315" spans="1:43" ht="13.5" thickBot="1">
      <c r="A315" s="283" t="s">
        <v>382</v>
      </c>
      <c r="B315" s="284" t="s">
        <v>569</v>
      </c>
      <c r="C315" s="305" t="s">
        <v>383</v>
      </c>
      <c r="D315" s="305" t="s">
        <v>385</v>
      </c>
      <c r="E315" s="285" t="s">
        <v>572</v>
      </c>
    </row>
    <row r="316" spans="1:43" ht="15">
      <c r="A316" s="84" t="s">
        <v>581</v>
      </c>
      <c r="B316" s="66" t="s">
        <v>582</v>
      </c>
      <c r="C316" s="82">
        <f>K323</f>
        <v>36.564</v>
      </c>
      <c r="D316" s="88">
        <v>2.5</v>
      </c>
      <c r="E316" s="88">
        <f>D316*C316</f>
        <v>91.41</v>
      </c>
    </row>
    <row r="317" spans="1:43" ht="15">
      <c r="A317" s="68"/>
      <c r="B317" s="85"/>
      <c r="C317" s="78"/>
      <c r="D317" s="79"/>
      <c r="E317" s="79"/>
    </row>
    <row r="318" spans="1:43" s="56" customFormat="1" ht="15">
      <c r="A318" s="279" t="s">
        <v>583</v>
      </c>
      <c r="B318" s="85"/>
      <c r="C318" s="78">
        <v>0</v>
      </c>
      <c r="D318" s="79">
        <v>0</v>
      </c>
      <c r="E318" s="79">
        <f>K324</f>
        <v>4.08</v>
      </c>
      <c r="F318" s="8"/>
      <c r="G318" s="8"/>
      <c r="H318" s="8"/>
      <c r="I318" s="8"/>
      <c r="AH318" s="127"/>
      <c r="AI318" s="127"/>
      <c r="AJ318" s="127"/>
      <c r="AK318" s="127"/>
      <c r="AL318" s="127"/>
      <c r="AM318" s="127"/>
      <c r="AN318" s="127"/>
      <c r="AO318" s="127"/>
      <c r="AP318" s="127"/>
      <c r="AQ318" s="276"/>
    </row>
    <row r="319" spans="1:43" ht="15.75" thickBot="1">
      <c r="A319" s="68"/>
      <c r="B319" s="85"/>
      <c r="C319" s="78"/>
      <c r="D319" s="79"/>
      <c r="E319" s="79"/>
    </row>
    <row r="320" spans="1:43" ht="13.5" thickBot="1">
      <c r="A320" s="967" t="s">
        <v>393</v>
      </c>
      <c r="B320" s="959"/>
      <c r="C320" s="959"/>
      <c r="D320" s="960"/>
      <c r="E320" s="111">
        <f>E316-E318</f>
        <v>87.33</v>
      </c>
    </row>
    <row r="322" spans="1:32" ht="15.75" thickBot="1">
      <c r="A322" s="59" t="s">
        <v>584</v>
      </c>
    </row>
    <row r="323" spans="1:32" ht="15.75" thickBot="1">
      <c r="A323" s="764" t="s">
        <v>383</v>
      </c>
      <c r="B323" s="765">
        <v>12.564</v>
      </c>
      <c r="C323" s="765">
        <v>12</v>
      </c>
      <c r="D323" s="765">
        <v>12</v>
      </c>
      <c r="E323" s="765">
        <v>0</v>
      </c>
      <c r="F323" s="765">
        <v>0</v>
      </c>
      <c r="G323" s="765">
        <v>0</v>
      </c>
      <c r="H323" s="765">
        <v>0</v>
      </c>
      <c r="I323" s="765">
        <v>0</v>
      </c>
      <c r="J323" s="765">
        <v>0</v>
      </c>
      <c r="K323" s="282">
        <f>SUM(B323:J323)</f>
        <v>36.564</v>
      </c>
      <c r="L323" s="278"/>
      <c r="M323" s="127"/>
      <c r="N323" s="127"/>
      <c r="O323" s="127"/>
      <c r="P323" s="127"/>
      <c r="Q323" s="127"/>
      <c r="R323" s="127"/>
      <c r="S323" s="127"/>
      <c r="T323" s="127"/>
      <c r="U323" s="127"/>
      <c r="V323" s="127"/>
      <c r="W323" s="127"/>
      <c r="X323" s="127"/>
      <c r="Y323" s="127"/>
      <c r="Z323" s="127"/>
      <c r="AA323" s="127"/>
      <c r="AB323" s="127"/>
      <c r="AC323" s="127"/>
      <c r="AD323" s="127"/>
      <c r="AE323" s="127"/>
      <c r="AF323" s="127"/>
    </row>
    <row r="324" spans="1:32" ht="15.75" thickBot="1">
      <c r="A324" s="764" t="s">
        <v>447</v>
      </c>
      <c r="B324" s="768">
        <v>1.36</v>
      </c>
      <c r="C324" s="768">
        <v>1.36</v>
      </c>
      <c r="D324" s="768">
        <v>1.36</v>
      </c>
      <c r="E324" s="768">
        <v>0</v>
      </c>
      <c r="F324" s="768">
        <v>0</v>
      </c>
      <c r="G324" s="768">
        <v>0</v>
      </c>
      <c r="H324" s="768">
        <v>0</v>
      </c>
      <c r="I324" s="768">
        <v>0</v>
      </c>
      <c r="J324" s="765">
        <v>0</v>
      </c>
      <c r="K324" s="282">
        <f>SUM(B324:J324)</f>
        <v>4.08</v>
      </c>
      <c r="L324" s="278"/>
      <c r="M324" s="127"/>
      <c r="N324" s="127"/>
      <c r="O324" s="127"/>
      <c r="P324" s="127"/>
      <c r="Q324" s="127"/>
      <c r="R324" s="127"/>
      <c r="S324" s="127"/>
      <c r="T324" s="127"/>
      <c r="U324" s="127"/>
      <c r="V324" s="127"/>
      <c r="W324" s="127"/>
      <c r="X324" s="127"/>
      <c r="Y324" s="127"/>
      <c r="Z324" s="127"/>
      <c r="AA324" s="127"/>
      <c r="AB324" s="127"/>
      <c r="AC324" s="127"/>
      <c r="AD324" s="127"/>
      <c r="AE324" s="127"/>
      <c r="AF324" s="127"/>
    </row>
    <row r="326" spans="1:32" ht="13.5" thickBot="1"/>
    <row r="327" spans="1:32" ht="13.5" thickBot="1">
      <c r="A327" s="304" t="s">
        <v>585</v>
      </c>
      <c r="B327" s="325">
        <f>E333</f>
        <v>9.8604000000000003</v>
      </c>
      <c r="C327" s="87" t="s">
        <v>84</v>
      </c>
    </row>
    <row r="328" spans="1:32" ht="13.5" thickBot="1">
      <c r="A328" s="283" t="s">
        <v>382</v>
      </c>
      <c r="B328" s="305" t="s">
        <v>291</v>
      </c>
      <c r="C328" s="305" t="s">
        <v>383</v>
      </c>
      <c r="D328" s="305" t="s">
        <v>385</v>
      </c>
      <c r="E328" s="285" t="s">
        <v>572</v>
      </c>
    </row>
    <row r="329" spans="1:32" ht="15">
      <c r="A329" s="84" t="s">
        <v>586</v>
      </c>
      <c r="B329" s="66">
        <v>1</v>
      </c>
      <c r="C329" s="82">
        <v>2.75</v>
      </c>
      <c r="D329" s="601">
        <v>2</v>
      </c>
      <c r="E329" s="88">
        <f>B329*C329*D329</f>
        <v>5.5</v>
      </c>
    </row>
    <row r="330" spans="1:32" ht="15">
      <c r="A330" s="68" t="s">
        <v>587</v>
      </c>
      <c r="B330" s="85">
        <v>20</v>
      </c>
      <c r="C330" s="78">
        <v>0.98799999999999999</v>
      </c>
      <c r="D330" s="602">
        <v>0.16500000000000001</v>
      </c>
      <c r="E330" s="79">
        <f>D330*C330*B330</f>
        <v>3.2603999999999997</v>
      </c>
    </row>
    <row r="331" spans="1:32" ht="15">
      <c r="A331" s="68" t="s">
        <v>588</v>
      </c>
      <c r="B331" s="85">
        <v>1</v>
      </c>
      <c r="C331" s="78">
        <f>K336</f>
        <v>11</v>
      </c>
      <c r="D331" s="602">
        <v>0.1</v>
      </c>
      <c r="E331" s="79">
        <f>D331*C331*B331</f>
        <v>1.1000000000000001</v>
      </c>
    </row>
    <row r="332" spans="1:32" ht="15.75" thickBot="1">
      <c r="A332" s="68"/>
      <c r="B332" s="85"/>
      <c r="C332" s="78"/>
      <c r="D332" s="79"/>
      <c r="E332" s="79"/>
    </row>
    <row r="333" spans="1:32" ht="13.5" thickBot="1">
      <c r="A333" s="967" t="s">
        <v>393</v>
      </c>
      <c r="B333" s="959"/>
      <c r="C333" s="959"/>
      <c r="D333" s="960"/>
      <c r="E333" s="111">
        <f>SUM(E329:E332)</f>
        <v>9.8604000000000003</v>
      </c>
    </row>
    <row r="335" spans="1:32" ht="15.75" thickBot="1">
      <c r="A335" s="59" t="s">
        <v>113</v>
      </c>
    </row>
    <row r="336" spans="1:32" ht="15.75" thickBot="1">
      <c r="A336" s="769" t="s">
        <v>588</v>
      </c>
      <c r="B336" s="765">
        <v>4.2</v>
      </c>
      <c r="C336" s="765">
        <v>4.2</v>
      </c>
      <c r="D336" s="765">
        <v>2.6</v>
      </c>
      <c r="E336" s="765">
        <v>0</v>
      </c>
      <c r="F336" s="765">
        <v>0</v>
      </c>
      <c r="G336" s="765">
        <v>0</v>
      </c>
      <c r="H336" s="765">
        <v>0</v>
      </c>
      <c r="I336" s="765">
        <v>0</v>
      </c>
      <c r="J336" s="765">
        <v>0</v>
      </c>
      <c r="K336" s="282">
        <f>SUM(B336:J336)</f>
        <v>11</v>
      </c>
      <c r="L336" s="278"/>
      <c r="M336" s="127"/>
      <c r="N336" s="127"/>
      <c r="O336" s="127"/>
      <c r="P336" s="127"/>
      <c r="Q336" s="127"/>
      <c r="R336" s="127"/>
      <c r="S336" s="127"/>
      <c r="T336" s="127"/>
      <c r="U336" s="127"/>
      <c r="V336" s="127"/>
      <c r="W336" s="127"/>
      <c r="X336" s="127"/>
      <c r="Y336" s="127"/>
      <c r="Z336" s="127"/>
      <c r="AA336" s="127"/>
      <c r="AB336" s="127"/>
      <c r="AC336" s="127"/>
      <c r="AD336" s="127"/>
      <c r="AE336" s="127"/>
      <c r="AF336" s="127"/>
    </row>
    <row r="337" spans="1:43" ht="15.75" customHeight="1" thickBot="1"/>
    <row r="338" spans="1:43" ht="13.5" thickBot="1">
      <c r="A338" s="304" t="s">
        <v>589</v>
      </c>
      <c r="B338" s="325">
        <v>4.2</v>
      </c>
      <c r="C338" s="87" t="s">
        <v>84</v>
      </c>
    </row>
    <row r="339" spans="1:43" ht="13.5" thickBot="1">
      <c r="A339" s="283" t="s">
        <v>382</v>
      </c>
      <c r="B339" s="305" t="s">
        <v>291</v>
      </c>
      <c r="C339" s="305" t="s">
        <v>383</v>
      </c>
      <c r="D339" s="305" t="s">
        <v>385</v>
      </c>
      <c r="E339" s="285" t="s">
        <v>572</v>
      </c>
    </row>
    <row r="340" spans="1:43" ht="15">
      <c r="A340" s="84" t="s">
        <v>590</v>
      </c>
      <c r="B340" s="66">
        <v>0</v>
      </c>
      <c r="C340" s="82">
        <v>0</v>
      </c>
      <c r="D340" s="88">
        <v>0</v>
      </c>
      <c r="E340" s="79">
        <f>D340*C340*B340</f>
        <v>0</v>
      </c>
    </row>
    <row r="341" spans="1:43" ht="15">
      <c r="A341" s="68" t="s">
        <v>591</v>
      </c>
      <c r="B341" s="85">
        <v>0</v>
      </c>
      <c r="C341" s="78">
        <v>0</v>
      </c>
      <c r="D341" s="79">
        <v>0</v>
      </c>
      <c r="E341" s="79">
        <f>D341*C341*B341</f>
        <v>0</v>
      </c>
    </row>
    <row r="342" spans="1:43" ht="15">
      <c r="A342" s="68" t="s">
        <v>592</v>
      </c>
      <c r="B342" s="85">
        <v>0</v>
      </c>
      <c r="C342" s="78">
        <v>0</v>
      </c>
      <c r="D342" s="79">
        <v>0</v>
      </c>
      <c r="E342" s="79">
        <f>D342*C342*B342</f>
        <v>0</v>
      </c>
    </row>
    <row r="343" spans="1:43" ht="15.75" thickBot="1">
      <c r="A343" s="68"/>
      <c r="B343" s="85">
        <v>0</v>
      </c>
      <c r="C343" s="78"/>
      <c r="D343" s="79"/>
      <c r="E343" s="79"/>
    </row>
    <row r="344" spans="1:43" ht="13.5" thickBot="1">
      <c r="A344" s="967" t="s">
        <v>393</v>
      </c>
      <c r="B344" s="959"/>
      <c r="C344" s="959"/>
      <c r="D344" s="960"/>
      <c r="E344" s="111">
        <f>SUM(E340:E343)</f>
        <v>0</v>
      </c>
    </row>
    <row r="346" spans="1:43" s="56" customFormat="1" ht="15.75" thickBot="1">
      <c r="A346" s="59" t="s">
        <v>593</v>
      </c>
      <c r="B346" s="8"/>
      <c r="C346" s="8"/>
      <c r="D346" s="8"/>
      <c r="E346" s="8"/>
      <c r="F346" s="8"/>
      <c r="G346" s="8"/>
      <c r="H346" s="8"/>
      <c r="I346" s="8"/>
      <c r="J346" s="127"/>
      <c r="K346" s="127"/>
      <c r="L346" s="127"/>
      <c r="M346" s="127"/>
      <c r="N346" s="127"/>
      <c r="O346" s="127"/>
      <c r="P346" s="127"/>
      <c r="Q346" s="127"/>
      <c r="R346" s="127"/>
      <c r="S346" s="127"/>
      <c r="T346" s="127"/>
      <c r="U346" s="127"/>
      <c r="V346" s="127"/>
      <c r="W346" s="127"/>
      <c r="X346" s="127"/>
      <c r="Y346" s="127"/>
      <c r="Z346" s="127"/>
      <c r="AA346" s="127"/>
      <c r="AB346" s="127"/>
      <c r="AC346" s="127"/>
      <c r="AD346" s="127"/>
      <c r="AE346" s="127"/>
      <c r="AF346" s="276"/>
      <c r="AG346" s="127"/>
      <c r="AH346" s="127"/>
      <c r="AI346" s="127"/>
      <c r="AJ346" s="127"/>
      <c r="AK346" s="127"/>
      <c r="AL346" s="127"/>
      <c r="AM346" s="127"/>
      <c r="AN346" s="127"/>
      <c r="AO346" s="127"/>
      <c r="AP346" s="127"/>
      <c r="AQ346" s="276"/>
    </row>
    <row r="347" spans="1:43" s="56" customFormat="1" ht="15.75" thickBot="1">
      <c r="A347" s="764" t="s">
        <v>594</v>
      </c>
      <c r="B347" s="767">
        <f>K350</f>
        <v>23.66</v>
      </c>
      <c r="C347" s="282" t="s">
        <v>84</v>
      </c>
      <c r="D347" s="275" t="s">
        <v>595</v>
      </c>
      <c r="E347" s="127"/>
      <c r="F347" s="127"/>
      <c r="G347" s="276"/>
      <c r="H347" s="127"/>
      <c r="I347" s="127"/>
      <c r="J347" s="281"/>
      <c r="K347" s="281"/>
      <c r="L347" s="281"/>
      <c r="M347" s="281"/>
      <c r="N347" s="281"/>
      <c r="O347" s="281"/>
      <c r="P347" s="281"/>
      <c r="Q347" s="281"/>
      <c r="R347" s="281"/>
      <c r="S347" s="281"/>
      <c r="T347" s="281"/>
      <c r="U347" s="281"/>
      <c r="V347" s="281"/>
      <c r="W347" s="281"/>
      <c r="X347" s="281"/>
      <c r="Y347" s="281"/>
      <c r="Z347" s="281"/>
      <c r="AA347" s="281"/>
      <c r="AB347" s="281"/>
      <c r="AC347" s="281"/>
      <c r="AD347" s="281"/>
      <c r="AE347" s="281"/>
      <c r="AF347" s="276"/>
      <c r="AG347" s="127"/>
      <c r="AH347" s="127"/>
      <c r="AI347" s="127"/>
      <c r="AJ347" s="127"/>
      <c r="AK347" s="127"/>
      <c r="AL347" s="127"/>
      <c r="AM347" s="127"/>
      <c r="AN347" s="127"/>
      <c r="AO347" s="127"/>
      <c r="AP347" s="127"/>
      <c r="AQ347" s="276"/>
    </row>
    <row r="348" spans="1:43" s="56" customFormat="1" ht="15">
      <c r="A348" s="8"/>
      <c r="B348" s="8"/>
      <c r="C348" s="8"/>
      <c r="D348" s="8"/>
      <c r="E348" s="8"/>
      <c r="F348" s="8"/>
      <c r="G348" s="8"/>
      <c r="H348" s="8"/>
      <c r="I348" s="8"/>
      <c r="J348" s="127"/>
      <c r="K348" s="127"/>
      <c r="L348" s="127"/>
      <c r="M348" s="127"/>
      <c r="N348" s="127"/>
      <c r="O348" s="127"/>
      <c r="P348" s="127"/>
      <c r="Q348" s="127"/>
      <c r="R348" s="127"/>
      <c r="S348" s="127"/>
      <c r="T348" s="127"/>
      <c r="U348" s="127"/>
      <c r="V348" s="127"/>
      <c r="W348" s="127"/>
      <c r="X348" s="127"/>
      <c r="Y348" s="127"/>
      <c r="Z348" s="127"/>
      <c r="AA348" s="127"/>
      <c r="AB348" s="127"/>
      <c r="AC348" s="127"/>
      <c r="AD348" s="127"/>
      <c r="AE348" s="127"/>
      <c r="AF348" s="276"/>
      <c r="AG348" s="127"/>
      <c r="AH348" s="127"/>
      <c r="AI348" s="127"/>
      <c r="AJ348" s="127"/>
      <c r="AK348" s="127"/>
      <c r="AL348" s="127"/>
      <c r="AM348" s="127"/>
      <c r="AN348" s="127"/>
      <c r="AO348" s="127"/>
      <c r="AP348" s="127"/>
      <c r="AQ348" s="276"/>
    </row>
    <row r="349" spans="1:43" ht="15.75" thickBot="1">
      <c r="A349" s="59" t="s">
        <v>409</v>
      </c>
    </row>
    <row r="350" spans="1:43" ht="15.75" thickBot="1">
      <c r="A350" s="764" t="str">
        <f>A347</f>
        <v>Gypsum ceiling</v>
      </c>
      <c r="B350" s="765">
        <v>8.1300000000000008</v>
      </c>
      <c r="C350" s="765">
        <v>7.78</v>
      </c>
      <c r="D350" s="765">
        <v>7.75</v>
      </c>
      <c r="E350" s="765">
        <v>0</v>
      </c>
      <c r="F350" s="765">
        <v>0</v>
      </c>
      <c r="G350" s="91">
        <v>0</v>
      </c>
      <c r="H350" s="765">
        <v>0</v>
      </c>
      <c r="I350" s="765">
        <v>0</v>
      </c>
      <c r="J350" s="765">
        <v>0</v>
      </c>
      <c r="K350" s="282">
        <f>SUM(B350:J350)</f>
        <v>23.66</v>
      </c>
      <c r="L350" s="306"/>
      <c r="Y350" s="102"/>
    </row>
    <row r="352" spans="1:43" ht="13.5" thickBot="1"/>
    <row r="353" spans="1:43" ht="13.5" thickBot="1">
      <c r="A353" s="304" t="s">
        <v>596</v>
      </c>
      <c r="B353" s="86"/>
      <c r="C353" s="87"/>
    </row>
    <row r="354" spans="1:43" ht="13.5" thickBot="1">
      <c r="A354" s="283" t="s">
        <v>382</v>
      </c>
      <c r="B354" s="305" t="s">
        <v>624</v>
      </c>
      <c r="C354" s="305" t="s">
        <v>625</v>
      </c>
      <c r="D354" s="305" t="s">
        <v>626</v>
      </c>
      <c r="E354" s="308" t="s">
        <v>572</v>
      </c>
      <c r="F354" s="604"/>
      <c r="G354" s="18"/>
      <c r="H354" s="18"/>
      <c r="I354" s="18"/>
      <c r="J354" s="18"/>
    </row>
    <row r="355" spans="1:43" s="56" customFormat="1" ht="15">
      <c r="A355" s="84"/>
      <c r="B355" s="66"/>
      <c r="C355" s="82"/>
      <c r="D355" s="82"/>
      <c r="E355" s="82"/>
      <c r="F355" s="74"/>
      <c r="G355" s="75"/>
      <c r="H355" s="75"/>
      <c r="I355" s="75"/>
      <c r="J355" s="75"/>
      <c r="K355" s="127"/>
      <c r="L355" s="127"/>
      <c r="M355" s="127"/>
      <c r="N355" s="127"/>
      <c r="O355" s="127"/>
      <c r="P355" s="127"/>
      <c r="Q355" s="127"/>
      <c r="R355" s="127"/>
      <c r="S355" s="127"/>
      <c r="T355" s="127"/>
      <c r="U355" s="127"/>
      <c r="V355" s="127"/>
      <c r="W355" s="127"/>
      <c r="X355" s="127"/>
      <c r="Y355" s="127"/>
      <c r="Z355" s="127"/>
      <c r="AA355" s="127"/>
      <c r="AB355" s="127"/>
      <c r="AC355" s="127"/>
      <c r="AD355" s="127"/>
      <c r="AE355" s="127"/>
      <c r="AF355" s="127"/>
      <c r="AG355" s="276"/>
      <c r="AH355" s="127"/>
      <c r="AI355" s="127"/>
      <c r="AJ355" s="127"/>
      <c r="AK355" s="127"/>
      <c r="AL355" s="127"/>
      <c r="AM355" s="127"/>
      <c r="AN355" s="127"/>
      <c r="AO355" s="127"/>
      <c r="AP355" s="127"/>
      <c r="AQ355" s="276"/>
    </row>
    <row r="356" spans="1:43">
      <c r="A356" s="68" t="s">
        <v>599</v>
      </c>
      <c r="B356" s="309">
        <v>1</v>
      </c>
      <c r="C356" s="309">
        <v>1</v>
      </c>
      <c r="D356" s="309">
        <v>1</v>
      </c>
      <c r="E356" s="324">
        <f>B356+C356+D356</f>
        <v>3</v>
      </c>
      <c r="F356" s="603"/>
      <c r="G356" s="307"/>
      <c r="H356" s="307"/>
      <c r="I356" s="307"/>
      <c r="J356" s="307"/>
    </row>
    <row r="357" spans="1:43">
      <c r="A357" s="68" t="s">
        <v>601</v>
      </c>
      <c r="B357" s="309">
        <v>1</v>
      </c>
      <c r="C357" s="309">
        <v>1</v>
      </c>
      <c r="D357" s="309">
        <v>1</v>
      </c>
      <c r="E357" s="324">
        <f t="shared" ref="E357:E367" si="55">B357+C357+D357</f>
        <v>3</v>
      </c>
      <c r="F357" s="603"/>
      <c r="G357" s="307"/>
      <c r="H357" s="307"/>
      <c r="I357" s="307"/>
      <c r="J357" s="307"/>
    </row>
    <row r="358" spans="1:43" s="56" customFormat="1" ht="15">
      <c r="A358" s="68" t="s">
        <v>602</v>
      </c>
      <c r="B358" s="309">
        <v>1</v>
      </c>
      <c r="C358" s="309">
        <v>1</v>
      </c>
      <c r="D358" s="309">
        <v>1</v>
      </c>
      <c r="E358" s="324">
        <f t="shared" si="55"/>
        <v>3</v>
      </c>
      <c r="F358" s="603"/>
      <c r="G358" s="307"/>
      <c r="H358" s="307"/>
      <c r="I358" s="307"/>
      <c r="J358" s="307"/>
      <c r="K358" s="127"/>
      <c r="L358" s="127"/>
      <c r="M358" s="127"/>
      <c r="N358" s="127"/>
      <c r="O358" s="127"/>
      <c r="P358" s="127"/>
      <c r="Q358" s="127"/>
      <c r="R358" s="127"/>
      <c r="S358" s="127"/>
      <c r="T358" s="127"/>
      <c r="U358" s="127"/>
      <c r="V358" s="127"/>
      <c r="W358" s="127"/>
      <c r="X358" s="127"/>
      <c r="Y358" s="127"/>
      <c r="Z358" s="127"/>
      <c r="AA358" s="127"/>
      <c r="AB358" s="127"/>
      <c r="AC358" s="127"/>
      <c r="AD358" s="127"/>
      <c r="AE358" s="127"/>
      <c r="AF358" s="127"/>
      <c r="AG358" s="276"/>
      <c r="AH358" s="127"/>
      <c r="AI358" s="127"/>
      <c r="AJ358" s="127"/>
      <c r="AK358" s="127"/>
      <c r="AL358" s="127"/>
      <c r="AM358" s="127"/>
      <c r="AN358" s="127"/>
      <c r="AO358" s="127"/>
      <c r="AP358" s="127"/>
      <c r="AQ358" s="276"/>
    </row>
    <row r="359" spans="1:43">
      <c r="A359" s="68" t="s">
        <v>603</v>
      </c>
      <c r="B359" s="309">
        <v>1</v>
      </c>
      <c r="C359" s="309">
        <v>1</v>
      </c>
      <c r="D359" s="309">
        <v>1</v>
      </c>
      <c r="E359" s="324">
        <f t="shared" si="55"/>
        <v>3</v>
      </c>
      <c r="F359" s="603"/>
      <c r="G359" s="307"/>
      <c r="H359" s="307"/>
      <c r="I359" s="307"/>
      <c r="J359" s="307"/>
    </row>
    <row r="360" spans="1:43">
      <c r="A360" s="68" t="s">
        <v>604</v>
      </c>
      <c r="B360" s="309">
        <v>1</v>
      </c>
      <c r="C360" s="309">
        <v>1</v>
      </c>
      <c r="D360" s="309">
        <v>1</v>
      </c>
      <c r="E360" s="324">
        <f t="shared" si="55"/>
        <v>3</v>
      </c>
      <c r="F360" s="603"/>
      <c r="G360" s="307"/>
      <c r="H360" s="307"/>
      <c r="I360" s="307"/>
      <c r="J360" s="307"/>
    </row>
    <row r="361" spans="1:43">
      <c r="A361" s="68" t="s">
        <v>606</v>
      </c>
      <c r="B361" s="309">
        <v>3</v>
      </c>
      <c r="C361" s="309">
        <v>3</v>
      </c>
      <c r="D361" s="309">
        <v>3</v>
      </c>
      <c r="E361" s="324">
        <f t="shared" si="55"/>
        <v>9</v>
      </c>
      <c r="F361" s="603"/>
      <c r="G361" s="307"/>
      <c r="H361" s="307"/>
      <c r="I361" s="307"/>
      <c r="J361" s="307"/>
    </row>
    <row r="362" spans="1:43">
      <c r="A362" s="68" t="s">
        <v>607</v>
      </c>
      <c r="B362" s="309">
        <v>1</v>
      </c>
      <c r="C362" s="309">
        <v>1</v>
      </c>
      <c r="D362" s="309">
        <v>1</v>
      </c>
      <c r="E362" s="324">
        <f t="shared" si="55"/>
        <v>3</v>
      </c>
      <c r="F362" s="603"/>
      <c r="G362" s="307"/>
      <c r="H362" s="307"/>
      <c r="I362" s="307"/>
      <c r="J362" s="307"/>
    </row>
    <row r="363" spans="1:43">
      <c r="A363" s="68" t="s">
        <v>608</v>
      </c>
      <c r="B363" s="309">
        <v>1</v>
      </c>
      <c r="C363" s="309">
        <v>1</v>
      </c>
      <c r="D363" s="309">
        <v>1</v>
      </c>
      <c r="E363" s="324">
        <f t="shared" si="55"/>
        <v>3</v>
      </c>
      <c r="F363" s="603"/>
      <c r="G363" s="307"/>
      <c r="H363" s="307"/>
      <c r="I363" s="307"/>
      <c r="J363" s="307"/>
    </row>
    <row r="364" spans="1:43">
      <c r="A364" s="68" t="s">
        <v>609</v>
      </c>
      <c r="B364" s="309">
        <v>1</v>
      </c>
      <c r="C364" s="309">
        <v>1</v>
      </c>
      <c r="D364" s="309">
        <v>1</v>
      </c>
      <c r="E364" s="324">
        <f t="shared" si="55"/>
        <v>3</v>
      </c>
      <c r="F364" s="603"/>
      <c r="G364" s="307"/>
      <c r="H364" s="307"/>
      <c r="I364" s="307"/>
      <c r="J364" s="307"/>
    </row>
    <row r="365" spans="1:43">
      <c r="A365" s="68" t="s">
        <v>610</v>
      </c>
      <c r="B365" s="309">
        <v>1</v>
      </c>
      <c r="C365" s="309">
        <v>1</v>
      </c>
      <c r="D365" s="309">
        <v>1</v>
      </c>
      <c r="E365" s="324">
        <f t="shared" si="55"/>
        <v>3</v>
      </c>
      <c r="F365" s="603"/>
      <c r="G365" s="307"/>
      <c r="H365" s="307"/>
      <c r="I365" s="307"/>
      <c r="J365" s="307"/>
    </row>
    <row r="366" spans="1:43">
      <c r="A366" s="68" t="s">
        <v>611</v>
      </c>
      <c r="B366" s="309">
        <v>1</v>
      </c>
      <c r="C366" s="309">
        <v>1</v>
      </c>
      <c r="D366" s="309">
        <v>1</v>
      </c>
      <c r="E366" s="324">
        <f t="shared" si="55"/>
        <v>3</v>
      </c>
      <c r="F366" s="603"/>
      <c r="G366" s="307"/>
      <c r="H366" s="307"/>
      <c r="I366" s="307"/>
      <c r="J366" s="307"/>
    </row>
    <row r="367" spans="1:43">
      <c r="A367" s="68" t="s">
        <v>627</v>
      </c>
      <c r="B367" s="309">
        <v>1</v>
      </c>
      <c r="C367" s="309">
        <v>1</v>
      </c>
      <c r="D367" s="309">
        <v>1</v>
      </c>
      <c r="E367" s="324">
        <f t="shared" si="55"/>
        <v>3</v>
      </c>
      <c r="F367" s="603"/>
      <c r="G367" s="307"/>
      <c r="H367" s="307"/>
      <c r="I367" s="307"/>
      <c r="J367" s="307"/>
    </row>
    <row r="368" spans="1:43" ht="13.5" thickBot="1">
      <c r="A368" s="71"/>
      <c r="B368" s="89"/>
      <c r="C368" s="80"/>
      <c r="D368" s="80"/>
      <c r="E368" s="80"/>
      <c r="F368" s="74"/>
      <c r="G368" s="75"/>
      <c r="H368" s="75"/>
      <c r="I368" s="75"/>
      <c r="J368" s="75"/>
    </row>
    <row r="371" spans="1:43" s="56" customFormat="1" ht="15.75" thickBot="1">
      <c r="A371" s="59" t="s">
        <v>612</v>
      </c>
      <c r="B371" s="8"/>
      <c r="C371" s="8"/>
      <c r="D371" s="8"/>
      <c r="E371" s="8"/>
      <c r="F371" s="8"/>
      <c r="G371" s="8"/>
      <c r="H371" s="8"/>
      <c r="I371" s="8"/>
      <c r="J371" s="127"/>
      <c r="K371" s="127"/>
      <c r="L371" s="127"/>
      <c r="M371" s="127"/>
      <c r="N371" s="127"/>
      <c r="O371" s="127"/>
      <c r="P371" s="127"/>
      <c r="Q371" s="127"/>
      <c r="R371" s="127"/>
      <c r="S371" s="127"/>
      <c r="T371" s="127"/>
      <c r="U371" s="127"/>
      <c r="V371" s="127"/>
      <c r="W371" s="127"/>
      <c r="X371" s="127"/>
      <c r="Y371" s="127"/>
      <c r="Z371" s="127"/>
      <c r="AA371" s="127"/>
      <c r="AB371" s="127"/>
      <c r="AC371" s="127"/>
      <c r="AD371" s="127"/>
      <c r="AE371" s="127"/>
      <c r="AF371" s="276"/>
      <c r="AG371" s="127"/>
      <c r="AH371" s="127"/>
      <c r="AI371" s="127"/>
      <c r="AJ371" s="127"/>
      <c r="AK371" s="127"/>
      <c r="AL371" s="127"/>
      <c r="AM371" s="127"/>
      <c r="AN371" s="127"/>
      <c r="AO371" s="127"/>
      <c r="AP371" s="127"/>
      <c r="AQ371" s="276"/>
    </row>
    <row r="372" spans="1:43" s="56" customFormat="1" ht="15.75" thickBot="1">
      <c r="A372" s="769" t="s">
        <v>613</v>
      </c>
      <c r="B372" s="767">
        <f>K375</f>
        <v>14.733000000000001</v>
      </c>
      <c r="C372" s="282" t="s">
        <v>614</v>
      </c>
      <c r="D372" s="275"/>
      <c r="E372" s="127"/>
      <c r="F372" s="127"/>
      <c r="G372" s="276"/>
      <c r="H372" s="127"/>
      <c r="I372" s="127"/>
      <c r="J372" s="281"/>
      <c r="K372" s="281"/>
      <c r="L372" s="281"/>
      <c r="M372" s="281"/>
      <c r="N372" s="281"/>
      <c r="O372" s="281"/>
      <c r="P372" s="281"/>
      <c r="Q372" s="281"/>
      <c r="R372" s="281"/>
      <c r="S372" s="281"/>
      <c r="T372" s="281"/>
      <c r="U372" s="281"/>
      <c r="V372" s="281"/>
      <c r="W372" s="281"/>
      <c r="X372" s="281"/>
      <c r="Y372" s="281"/>
      <c r="Z372" s="281"/>
      <c r="AA372" s="281"/>
      <c r="AB372" s="281"/>
      <c r="AC372" s="281"/>
      <c r="AD372" s="281"/>
      <c r="AE372" s="281"/>
      <c r="AF372" s="276"/>
      <c r="AG372" s="127"/>
      <c r="AH372" s="127"/>
      <c r="AI372" s="127"/>
      <c r="AJ372" s="127"/>
      <c r="AK372" s="127"/>
      <c r="AL372" s="127"/>
      <c r="AM372" s="127"/>
      <c r="AN372" s="127"/>
      <c r="AO372" s="127"/>
      <c r="AP372" s="127"/>
      <c r="AQ372" s="276"/>
    </row>
    <row r="373" spans="1:43" s="56" customFormat="1" ht="15">
      <c r="A373" s="8"/>
      <c r="B373" s="8"/>
      <c r="C373" s="8"/>
      <c r="D373" s="8"/>
      <c r="E373" s="8"/>
      <c r="F373" s="8"/>
      <c r="G373" s="8"/>
      <c r="H373" s="8"/>
      <c r="I373" s="8"/>
      <c r="J373" s="127"/>
      <c r="K373" s="127"/>
      <c r="L373" s="127"/>
      <c r="M373" s="127"/>
      <c r="N373" s="127"/>
      <c r="O373" s="127"/>
      <c r="P373" s="127"/>
      <c r="Q373" s="127"/>
      <c r="R373" s="127"/>
      <c r="S373" s="127"/>
      <c r="T373" s="127"/>
      <c r="U373" s="127"/>
      <c r="V373" s="127"/>
      <c r="W373" s="127"/>
      <c r="X373" s="127"/>
      <c r="Y373" s="127"/>
      <c r="Z373" s="127"/>
      <c r="AA373" s="127"/>
      <c r="AB373" s="127"/>
      <c r="AC373" s="127"/>
      <c r="AD373" s="127"/>
      <c r="AE373" s="127"/>
      <c r="AF373" s="276"/>
      <c r="AG373" s="127"/>
      <c r="AH373" s="127"/>
      <c r="AI373" s="127"/>
      <c r="AJ373" s="127"/>
      <c r="AK373" s="127"/>
      <c r="AL373" s="127"/>
      <c r="AM373" s="127"/>
      <c r="AN373" s="127"/>
      <c r="AO373" s="127"/>
      <c r="AP373" s="127"/>
      <c r="AQ373" s="276"/>
    </row>
    <row r="374" spans="1:43" ht="15.75" thickBot="1">
      <c r="A374" s="59" t="s">
        <v>615</v>
      </c>
    </row>
    <row r="375" spans="1:43" ht="15.75" thickBot="1">
      <c r="A375" s="764" t="str">
        <f>A372</f>
        <v>Hand Rail</v>
      </c>
      <c r="B375" s="765">
        <v>4.9000000000000004</v>
      </c>
      <c r="C375" s="765">
        <v>5.62</v>
      </c>
      <c r="D375" s="765">
        <f>3.283+0.93</f>
        <v>4.2130000000000001</v>
      </c>
      <c r="E375" s="765">
        <v>0</v>
      </c>
      <c r="F375" s="765">
        <v>0</v>
      </c>
      <c r="G375" s="91">
        <v>0</v>
      </c>
      <c r="H375" s="765">
        <v>0</v>
      </c>
      <c r="I375" s="765">
        <v>0</v>
      </c>
      <c r="J375" s="765">
        <v>0</v>
      </c>
      <c r="K375" s="282">
        <f>SUM(B375:J375)</f>
        <v>14.733000000000001</v>
      </c>
      <c r="L375" s="306"/>
      <c r="Y375" s="102"/>
    </row>
    <row r="376" spans="1:43" ht="13.5" thickBot="1"/>
    <row r="377" spans="1:43" s="579" customFormat="1" ht="15.75" thickBot="1">
      <c r="A377" s="578" t="s">
        <v>628</v>
      </c>
    </row>
    <row r="379" spans="1:43" ht="15.75" thickBot="1">
      <c r="A379" s="59" t="s">
        <v>526</v>
      </c>
    </row>
    <row r="380" spans="1:43" s="56" customFormat="1" ht="15.75" thickBot="1">
      <c r="A380" s="286" t="s">
        <v>527</v>
      </c>
      <c r="B380" s="287">
        <f>D389-G407</f>
        <v>287.47822000000002</v>
      </c>
      <c r="C380" s="282" t="s">
        <v>84</v>
      </c>
      <c r="D380" s="275"/>
      <c r="E380" s="127"/>
      <c r="F380" s="580"/>
      <c r="G380" s="276"/>
      <c r="H380" s="127"/>
      <c r="I380" s="127"/>
      <c r="J380" s="127"/>
      <c r="K380" s="127"/>
      <c r="L380" s="127"/>
      <c r="M380" s="127"/>
      <c r="N380" s="127"/>
      <c r="O380" s="127"/>
      <c r="P380" s="127"/>
      <c r="Q380" s="127"/>
      <c r="R380" s="127"/>
      <c r="S380" s="127"/>
      <c r="T380" s="127"/>
      <c r="U380" s="127"/>
      <c r="V380" s="127"/>
      <c r="W380" s="127"/>
      <c r="X380" s="127"/>
      <c r="Y380" s="127"/>
      <c r="Z380" s="127"/>
      <c r="AA380" s="127"/>
      <c r="AB380" s="127"/>
      <c r="AC380" s="127"/>
      <c r="AD380" s="127"/>
      <c r="AE380" s="127"/>
      <c r="AF380" s="127"/>
      <c r="AG380" s="276"/>
      <c r="AH380" s="127"/>
      <c r="AI380" s="127"/>
      <c r="AJ380" s="127"/>
      <c r="AK380" s="127"/>
      <c r="AL380" s="127"/>
      <c r="AM380" s="127"/>
      <c r="AN380" s="127"/>
      <c r="AO380" s="127"/>
      <c r="AP380" s="127"/>
      <c r="AQ380" s="276"/>
    </row>
    <row r="381" spans="1:43" ht="13.5" thickBot="1"/>
    <row r="382" spans="1:43" ht="13.5" thickBot="1">
      <c r="A382" s="283" t="s">
        <v>382</v>
      </c>
      <c r="B382" s="284" t="s">
        <v>383</v>
      </c>
      <c r="C382" s="284" t="s">
        <v>385</v>
      </c>
      <c r="D382" s="285" t="s">
        <v>408</v>
      </c>
    </row>
    <row r="383" spans="1:43">
      <c r="A383" s="61"/>
      <c r="B383" s="82"/>
      <c r="C383" s="82"/>
      <c r="D383" s="82"/>
    </row>
    <row r="384" spans="1:43" ht="15">
      <c r="A384" s="67" t="s">
        <v>528</v>
      </c>
      <c r="B384" s="78">
        <f>P392</f>
        <v>31.825999999999997</v>
      </c>
      <c r="C384" s="78">
        <f>3-0.43+1</f>
        <v>3.57</v>
      </c>
      <c r="D384" s="79">
        <f>C384*B384</f>
        <v>113.61881999999999</v>
      </c>
      <c r="E384" s="75"/>
      <c r="F384" s="75"/>
      <c r="G384" s="75"/>
    </row>
    <row r="385" spans="1:43" ht="15">
      <c r="A385" s="67" t="s">
        <v>530</v>
      </c>
      <c r="B385" s="78">
        <f>P393</f>
        <v>41.684000000000005</v>
      </c>
      <c r="C385" s="78">
        <f>3-0.15+1</f>
        <v>3.85</v>
      </c>
      <c r="D385" s="79">
        <f>C385*B385</f>
        <v>160.48340000000002</v>
      </c>
      <c r="E385" s="75"/>
      <c r="F385" s="75"/>
      <c r="G385" s="75"/>
    </row>
    <row r="386" spans="1:43" ht="15">
      <c r="A386" s="67" t="s">
        <v>530</v>
      </c>
      <c r="B386" s="78">
        <f>P394</f>
        <v>0</v>
      </c>
      <c r="C386" s="78">
        <v>1.2</v>
      </c>
      <c r="D386" s="79">
        <f>C386*B386</f>
        <v>0</v>
      </c>
      <c r="E386" s="75"/>
      <c r="F386" s="75"/>
      <c r="G386" s="75"/>
    </row>
    <row r="387" spans="1:43" ht="15">
      <c r="A387" s="67" t="s">
        <v>616</v>
      </c>
      <c r="B387" s="78">
        <f>P395</f>
        <v>9.2579999999999991</v>
      </c>
      <c r="C387" s="78">
        <v>2</v>
      </c>
      <c r="D387" s="79">
        <f>C387*B387</f>
        <v>18.515999999999998</v>
      </c>
      <c r="E387" s="75"/>
      <c r="F387" s="75"/>
      <c r="G387" s="75"/>
    </row>
    <row r="388" spans="1:43" ht="15.75" thickBot="1">
      <c r="A388" s="67"/>
      <c r="B388" s="78"/>
      <c r="C388" s="78"/>
      <c r="D388" s="79"/>
    </row>
    <row r="389" spans="1:43" ht="15.75" thickBot="1">
      <c r="A389" s="958" t="s">
        <v>393</v>
      </c>
      <c r="B389" s="959"/>
      <c r="C389" s="960"/>
      <c r="D389" s="77">
        <f>SUM(D383:D388)</f>
        <v>292.61822000000001</v>
      </c>
    </row>
    <row r="391" spans="1:43" ht="15.75" thickBot="1">
      <c r="A391" s="59" t="s">
        <v>531</v>
      </c>
    </row>
    <row r="392" spans="1:43" s="56" customFormat="1" ht="17.25" customHeight="1" thickBot="1">
      <c r="A392" s="764" t="str">
        <f>A384</f>
        <v>150mm outer wall (Beam Line)</v>
      </c>
      <c r="B392" s="765">
        <v>4.101</v>
      </c>
      <c r="C392" s="765">
        <v>5.3920000000000003</v>
      </c>
      <c r="D392" s="765">
        <v>1.9570000000000001</v>
      </c>
      <c r="E392" s="765">
        <v>2.1549999999999998</v>
      </c>
      <c r="F392" s="765">
        <v>1.9239999999999999</v>
      </c>
      <c r="G392" s="765">
        <v>1.64</v>
      </c>
      <c r="H392" s="765">
        <v>4.25</v>
      </c>
      <c r="I392" s="765">
        <v>3.8</v>
      </c>
      <c r="J392" s="765">
        <v>1.9</v>
      </c>
      <c r="K392" s="765">
        <v>2.2050000000000001</v>
      </c>
      <c r="L392" s="765">
        <v>2.5019999999999998</v>
      </c>
      <c r="M392" s="765">
        <v>0</v>
      </c>
      <c r="N392" s="765">
        <v>0</v>
      </c>
      <c r="O392" s="765">
        <v>0</v>
      </c>
      <c r="P392" s="282">
        <f>SUM(B392:O392)</f>
        <v>31.825999999999997</v>
      </c>
      <c r="Q392" s="127"/>
      <c r="R392" s="127"/>
      <c r="S392" s="127"/>
      <c r="T392" s="127"/>
      <c r="U392" s="127"/>
      <c r="V392" s="127"/>
      <c r="W392" s="127"/>
      <c r="X392" s="127"/>
      <c r="Y392" s="127"/>
      <c r="Z392" s="127"/>
      <c r="AA392" s="127"/>
      <c r="AB392" s="276"/>
      <c r="AC392" s="127"/>
      <c r="AD392" s="127"/>
      <c r="AE392" s="127"/>
      <c r="AF392" s="127"/>
      <c r="AG392" s="276"/>
      <c r="AH392" s="127"/>
      <c r="AI392" s="127"/>
      <c r="AJ392" s="127"/>
      <c r="AK392" s="127"/>
      <c r="AL392" s="127"/>
      <c r="AM392" s="127"/>
      <c r="AN392" s="127"/>
      <c r="AO392" s="127"/>
      <c r="AP392" s="127"/>
      <c r="AQ392" s="276"/>
    </row>
    <row r="393" spans="1:43" s="56" customFormat="1" ht="17.25" customHeight="1" thickBot="1">
      <c r="A393" s="764" t="str">
        <f>A385</f>
        <v>150mm outer wall (Slab Line)</v>
      </c>
      <c r="B393" s="765">
        <v>2.911</v>
      </c>
      <c r="C393" s="765">
        <v>1.3180000000000001</v>
      </c>
      <c r="D393" s="765">
        <v>3.524</v>
      </c>
      <c r="E393" s="770">
        <v>6.6260000000000003</v>
      </c>
      <c r="F393" s="765">
        <v>2.4500000000000002</v>
      </c>
      <c r="G393" s="765">
        <v>1.89</v>
      </c>
      <c r="H393" s="765">
        <v>1.84</v>
      </c>
      <c r="I393" s="765">
        <v>5.65</v>
      </c>
      <c r="J393" s="765">
        <v>5.55</v>
      </c>
      <c r="K393" s="765">
        <v>5.7249999999999996</v>
      </c>
      <c r="L393" s="765">
        <v>4.2</v>
      </c>
      <c r="M393" s="765">
        <v>0</v>
      </c>
      <c r="N393" s="765">
        <v>0</v>
      </c>
      <c r="O393" s="765">
        <v>0</v>
      </c>
      <c r="P393" s="282">
        <f>SUM(B393:O393)</f>
        <v>41.684000000000005</v>
      </c>
      <c r="Q393" s="127"/>
      <c r="R393" s="127"/>
      <c r="S393" s="127"/>
      <c r="T393" s="127"/>
      <c r="U393" s="127"/>
      <c r="V393" s="127"/>
      <c r="W393" s="127"/>
      <c r="X393" s="127"/>
      <c r="Y393" s="127"/>
      <c r="Z393" s="127"/>
      <c r="AA393" s="127"/>
      <c r="AB393" s="276"/>
      <c r="AC393" s="127"/>
      <c r="AD393" s="127"/>
      <c r="AE393" s="127"/>
      <c r="AF393" s="127"/>
      <c r="AG393" s="276"/>
      <c r="AH393" s="127"/>
      <c r="AI393" s="127"/>
      <c r="AJ393" s="127"/>
      <c r="AK393" s="127"/>
      <c r="AL393" s="127"/>
      <c r="AM393" s="127"/>
      <c r="AN393" s="127"/>
      <c r="AO393" s="127"/>
      <c r="AP393" s="127"/>
      <c r="AQ393" s="276"/>
    </row>
    <row r="394" spans="1:43" s="56" customFormat="1" ht="17.25" customHeight="1" thickBot="1">
      <c r="A394" s="764" t="str">
        <f>A386</f>
        <v>150mm outer wall (Slab Line)</v>
      </c>
      <c r="B394" s="765">
        <v>0</v>
      </c>
      <c r="C394" s="765">
        <v>0</v>
      </c>
      <c r="D394" s="765">
        <v>0</v>
      </c>
      <c r="E394" s="765">
        <v>0</v>
      </c>
      <c r="F394" s="765">
        <v>0</v>
      </c>
      <c r="G394" s="765">
        <v>0</v>
      </c>
      <c r="H394" s="765">
        <v>0</v>
      </c>
      <c r="I394" s="765">
        <v>0</v>
      </c>
      <c r="J394" s="765">
        <v>0</v>
      </c>
      <c r="K394" s="765">
        <v>0</v>
      </c>
      <c r="L394" s="765">
        <v>0</v>
      </c>
      <c r="M394" s="765">
        <v>0</v>
      </c>
      <c r="N394" s="765">
        <v>0</v>
      </c>
      <c r="O394" s="765">
        <v>0</v>
      </c>
      <c r="P394" s="282">
        <f>SUM(B394:O394)</f>
        <v>0</v>
      </c>
      <c r="Q394" s="127"/>
      <c r="R394" s="127"/>
      <c r="S394" s="127"/>
      <c r="T394" s="127"/>
      <c r="U394" s="127"/>
      <c r="V394" s="127"/>
      <c r="W394" s="127"/>
      <c r="X394" s="127"/>
      <c r="Y394" s="127"/>
      <c r="Z394" s="127"/>
      <c r="AA394" s="127"/>
      <c r="AB394" s="276"/>
      <c r="AC394" s="127"/>
      <c r="AD394" s="127"/>
      <c r="AE394" s="127"/>
      <c r="AF394" s="127"/>
      <c r="AG394" s="276"/>
      <c r="AH394" s="127"/>
      <c r="AI394" s="127"/>
      <c r="AJ394" s="127"/>
      <c r="AK394" s="127"/>
      <c r="AL394" s="127"/>
      <c r="AM394" s="127"/>
      <c r="AN394" s="127"/>
      <c r="AO394" s="127"/>
      <c r="AP394" s="127"/>
      <c r="AQ394" s="276"/>
    </row>
    <row r="395" spans="1:43" s="56" customFormat="1" ht="17.25" customHeight="1" thickBot="1">
      <c r="A395" s="764" t="str">
        <f>A387</f>
        <v>150mm - 2M wall</v>
      </c>
      <c r="B395" s="765">
        <v>3.5979999999999999</v>
      </c>
      <c r="C395" s="765">
        <v>3.76</v>
      </c>
      <c r="D395" s="765">
        <v>1.9</v>
      </c>
      <c r="E395" s="765">
        <v>0</v>
      </c>
      <c r="F395" s="765">
        <v>0</v>
      </c>
      <c r="G395" s="765">
        <v>0</v>
      </c>
      <c r="H395" s="765">
        <v>0</v>
      </c>
      <c r="I395" s="765">
        <v>0</v>
      </c>
      <c r="J395" s="765">
        <v>0</v>
      </c>
      <c r="K395" s="765">
        <v>0</v>
      </c>
      <c r="L395" s="765">
        <v>0</v>
      </c>
      <c r="M395" s="765">
        <v>0</v>
      </c>
      <c r="N395" s="765">
        <v>0</v>
      </c>
      <c r="O395" s="765">
        <v>0</v>
      </c>
      <c r="P395" s="282">
        <f>SUM(B395:O395)</f>
        <v>9.2579999999999991</v>
      </c>
      <c r="Q395" s="127"/>
      <c r="R395" s="127"/>
      <c r="S395" s="127"/>
      <c r="T395" s="127"/>
      <c r="U395" s="127"/>
      <c r="V395" s="127"/>
      <c r="W395" s="127"/>
      <c r="X395" s="127"/>
      <c r="Y395" s="127"/>
      <c r="Z395" s="127"/>
      <c r="AA395" s="127"/>
      <c r="AB395" s="276"/>
      <c r="AC395" s="127"/>
      <c r="AD395" s="127"/>
      <c r="AE395" s="127"/>
      <c r="AF395" s="127"/>
      <c r="AG395" s="276"/>
      <c r="AH395" s="127"/>
      <c r="AI395" s="127"/>
      <c r="AJ395" s="127"/>
      <c r="AK395" s="127"/>
      <c r="AL395" s="127"/>
      <c r="AM395" s="127"/>
      <c r="AN395" s="127"/>
      <c r="AO395" s="127"/>
      <c r="AP395" s="127"/>
      <c r="AQ395" s="276"/>
    </row>
    <row r="397" spans="1:43" ht="15.75" thickBot="1">
      <c r="A397" s="59" t="s">
        <v>447</v>
      </c>
    </row>
    <row r="398" spans="1:43" s="56" customFormat="1" ht="15.75" customHeight="1" thickBot="1">
      <c r="A398" s="310" t="s">
        <v>382</v>
      </c>
      <c r="B398" s="311" t="s">
        <v>82</v>
      </c>
      <c r="C398" s="311" t="s">
        <v>291</v>
      </c>
      <c r="D398" s="311" t="s">
        <v>384</v>
      </c>
      <c r="E398" s="311" t="s">
        <v>385</v>
      </c>
      <c r="F398" s="313" t="s">
        <v>409</v>
      </c>
      <c r="G398" s="314" t="s">
        <v>532</v>
      </c>
      <c r="H398" s="961" t="s">
        <v>533</v>
      </c>
      <c r="I398" s="962"/>
      <c r="J398" s="962"/>
      <c r="K398" s="962"/>
      <c r="L398" s="962"/>
      <c r="M398" s="962"/>
      <c r="N398" s="962"/>
      <c r="O398" s="963"/>
      <c r="P398" s="315" t="s">
        <v>532</v>
      </c>
    </row>
    <row r="399" spans="1:43">
      <c r="A399" s="61"/>
      <c r="B399" s="61"/>
      <c r="C399" s="61"/>
      <c r="D399" s="61"/>
      <c r="E399" s="61"/>
      <c r="F399" s="61"/>
      <c r="G399" s="61"/>
      <c r="N399" s="69"/>
      <c r="O399" s="70"/>
      <c r="P399" s="61"/>
    </row>
    <row r="400" spans="1:43" ht="15">
      <c r="A400" s="62" t="s">
        <v>534</v>
      </c>
      <c r="B400" s="309" t="s">
        <v>617</v>
      </c>
      <c r="C400" s="73">
        <f>P400</f>
        <v>1</v>
      </c>
      <c r="D400" s="73">
        <v>1.9</v>
      </c>
      <c r="E400" s="73">
        <v>1.6</v>
      </c>
      <c r="F400" s="79">
        <f>E400*D400</f>
        <v>3.04</v>
      </c>
      <c r="G400" s="79">
        <f>F400*C400</f>
        <v>3.04</v>
      </c>
      <c r="H400" s="102">
        <v>1</v>
      </c>
      <c r="I400" s="102">
        <v>0</v>
      </c>
      <c r="J400" s="102">
        <v>0</v>
      </c>
      <c r="K400" s="75">
        <v>0</v>
      </c>
      <c r="L400" s="75">
        <v>0</v>
      </c>
      <c r="M400" s="75">
        <v>0</v>
      </c>
      <c r="N400" s="75">
        <v>0</v>
      </c>
      <c r="O400" s="766">
        <v>0</v>
      </c>
      <c r="P400" s="79">
        <f>SUM(H400:O400)</f>
        <v>1</v>
      </c>
    </row>
    <row r="401" spans="1:16" ht="15">
      <c r="A401" s="63"/>
      <c r="B401" s="309"/>
      <c r="C401" s="73"/>
      <c r="D401" s="73"/>
      <c r="E401" s="73"/>
      <c r="F401" s="79"/>
      <c r="G401" s="79"/>
      <c r="H401" s="102"/>
      <c r="I401" s="102"/>
      <c r="J401" s="102"/>
      <c r="O401" s="217"/>
      <c r="P401" s="79"/>
    </row>
    <row r="402" spans="1:16" ht="15">
      <c r="A402" s="62" t="s">
        <v>538</v>
      </c>
      <c r="B402" s="309" t="s">
        <v>618</v>
      </c>
      <c r="C402" s="73">
        <f>P402</f>
        <v>3</v>
      </c>
      <c r="D402" s="73">
        <v>1</v>
      </c>
      <c r="E402" s="73">
        <v>0.7</v>
      </c>
      <c r="F402" s="79">
        <f t="shared" ref="F402:F405" si="56">E402*D402</f>
        <v>0.7</v>
      </c>
      <c r="G402" s="79">
        <f t="shared" ref="G402:G405" si="57">F402*C402</f>
        <v>2.0999999999999996</v>
      </c>
      <c r="H402" s="102">
        <v>1</v>
      </c>
      <c r="I402" s="75">
        <v>1</v>
      </c>
      <c r="J402" s="75">
        <v>1</v>
      </c>
      <c r="K402" s="75">
        <v>0</v>
      </c>
      <c r="L402" s="75">
        <v>0</v>
      </c>
      <c r="M402" s="75">
        <v>0</v>
      </c>
      <c r="N402" s="75">
        <v>0</v>
      </c>
      <c r="O402" s="766">
        <v>0</v>
      </c>
      <c r="P402" s="79">
        <f t="shared" ref="P402:P405" si="58">SUM(H402:O402)</f>
        <v>3</v>
      </c>
    </row>
    <row r="403" spans="1:16" ht="15">
      <c r="A403" s="598"/>
      <c r="B403" s="309" t="s">
        <v>543</v>
      </c>
      <c r="C403" s="73">
        <f>P403</f>
        <v>3</v>
      </c>
      <c r="D403" s="73">
        <v>2.335</v>
      </c>
      <c r="E403" s="73">
        <v>2.6</v>
      </c>
      <c r="F403" s="79">
        <f t="shared" si="56"/>
        <v>6.0709999999999997</v>
      </c>
      <c r="G403" s="79">
        <f t="shared" si="57"/>
        <v>18.213000000000001</v>
      </c>
      <c r="H403" s="102">
        <v>1</v>
      </c>
      <c r="I403" s="75">
        <v>1</v>
      </c>
      <c r="J403" s="75">
        <v>1</v>
      </c>
      <c r="K403" s="75">
        <v>0</v>
      </c>
      <c r="L403" s="75">
        <v>0</v>
      </c>
      <c r="M403" s="75">
        <v>0</v>
      </c>
      <c r="N403" s="75">
        <v>0</v>
      </c>
      <c r="O403" s="766">
        <v>0</v>
      </c>
      <c r="P403" s="79">
        <f t="shared" si="58"/>
        <v>3</v>
      </c>
    </row>
    <row r="404" spans="1:16" ht="15">
      <c r="A404" s="598"/>
      <c r="B404" s="309" t="s">
        <v>619</v>
      </c>
      <c r="C404" s="73">
        <f>P404</f>
        <v>3</v>
      </c>
      <c r="D404" s="73">
        <v>1.65</v>
      </c>
      <c r="E404" s="73">
        <v>2.25</v>
      </c>
      <c r="F404" s="79">
        <f t="shared" si="56"/>
        <v>3.7124999999999999</v>
      </c>
      <c r="G404" s="79">
        <f t="shared" si="57"/>
        <v>11.137499999999999</v>
      </c>
      <c r="H404" s="102">
        <v>1</v>
      </c>
      <c r="I404" s="75">
        <v>1</v>
      </c>
      <c r="J404" s="75">
        <v>1</v>
      </c>
      <c r="K404" s="75">
        <v>0</v>
      </c>
      <c r="L404" s="75">
        <v>0</v>
      </c>
      <c r="M404" s="75">
        <v>0</v>
      </c>
      <c r="N404" s="75">
        <v>0</v>
      </c>
      <c r="O404" s="766">
        <v>0</v>
      </c>
      <c r="P404" s="79">
        <f t="shared" si="58"/>
        <v>3</v>
      </c>
    </row>
    <row r="405" spans="1:16" ht="15">
      <c r="A405" s="598"/>
      <c r="B405" s="309" t="s">
        <v>620</v>
      </c>
      <c r="C405" s="73">
        <f>P405</f>
        <v>3</v>
      </c>
      <c r="D405" s="73">
        <v>1.1000000000000001</v>
      </c>
      <c r="E405" s="73">
        <v>2.25</v>
      </c>
      <c r="F405" s="79">
        <f t="shared" si="56"/>
        <v>2.4750000000000001</v>
      </c>
      <c r="G405" s="79">
        <f t="shared" si="57"/>
        <v>7.4250000000000007</v>
      </c>
      <c r="H405" s="102">
        <v>1</v>
      </c>
      <c r="I405" s="75">
        <v>1</v>
      </c>
      <c r="J405" s="75">
        <v>1</v>
      </c>
      <c r="K405" s="75">
        <v>0</v>
      </c>
      <c r="L405" s="75">
        <v>0</v>
      </c>
      <c r="M405" s="75">
        <v>0</v>
      </c>
      <c r="N405" s="75">
        <v>0</v>
      </c>
      <c r="O405" s="766">
        <v>0</v>
      </c>
      <c r="P405" s="79">
        <f t="shared" si="58"/>
        <v>3</v>
      </c>
    </row>
    <row r="406" spans="1:16" ht="15.75" thickBot="1">
      <c r="B406" s="309"/>
      <c r="C406" s="73"/>
      <c r="D406" s="73"/>
      <c r="E406" s="73"/>
      <c r="F406" s="79"/>
      <c r="G406" s="79"/>
      <c r="N406" s="280"/>
      <c r="O406" s="316"/>
      <c r="P406" s="79"/>
    </row>
    <row r="407" spans="1:16" ht="15.75" thickBot="1">
      <c r="A407" s="65"/>
      <c r="B407" s="955" t="s">
        <v>545</v>
      </c>
      <c r="C407" s="956"/>
      <c r="D407" s="956"/>
      <c r="E407" s="956"/>
      <c r="F407" s="957"/>
      <c r="G407" s="77">
        <f>SUM(G399:G402)</f>
        <v>5.14</v>
      </c>
      <c r="H407" s="293"/>
      <c r="I407" s="208"/>
      <c r="J407" s="208"/>
      <c r="K407" s="312"/>
      <c r="L407" s="312"/>
      <c r="M407" s="312"/>
      <c r="N407" s="312"/>
      <c r="O407" s="317"/>
      <c r="P407" s="77"/>
    </row>
    <row r="408" spans="1:16" ht="15">
      <c r="H408" s="102"/>
      <c r="I408" s="102"/>
      <c r="J408" s="102"/>
    </row>
    <row r="409" spans="1:16" ht="15">
      <c r="H409" s="102"/>
      <c r="I409" s="102"/>
      <c r="J409" s="102"/>
    </row>
    <row r="410" spans="1:16" ht="15.75" thickBot="1">
      <c r="A410" s="59" t="s">
        <v>546</v>
      </c>
    </row>
    <row r="411" spans="1:16" s="56" customFormat="1" ht="15.75" thickBot="1">
      <c r="A411" s="286" t="s">
        <v>547</v>
      </c>
      <c r="B411" s="287">
        <f>D418-H428+J428</f>
        <v>86.725699999999989</v>
      </c>
      <c r="C411" s="282" t="s">
        <v>84</v>
      </c>
      <c r="D411" s="275"/>
      <c r="E411" s="127"/>
      <c r="F411" s="127"/>
      <c r="G411" s="276"/>
      <c r="H411" s="127"/>
      <c r="I411" s="127"/>
      <c r="J411" s="277"/>
    </row>
    <row r="412" spans="1:16" ht="13.5" thickBot="1"/>
    <row r="413" spans="1:16" ht="15.75" thickBot="1">
      <c r="A413" s="283" t="s">
        <v>382</v>
      </c>
      <c r="B413" s="284" t="s">
        <v>383</v>
      </c>
      <c r="C413" s="284" t="s">
        <v>385</v>
      </c>
      <c r="D413" s="285" t="s">
        <v>408</v>
      </c>
      <c r="J413" s="102"/>
    </row>
    <row r="414" spans="1:16" ht="15">
      <c r="A414" s="61"/>
      <c r="B414" s="82"/>
      <c r="C414" s="82"/>
      <c r="D414" s="82"/>
      <c r="J414" s="102"/>
    </row>
    <row r="415" spans="1:16" ht="15">
      <c r="A415" s="67" t="s">
        <v>548</v>
      </c>
      <c r="B415" s="78">
        <f>M421</f>
        <v>16.765000000000001</v>
      </c>
      <c r="C415" s="78">
        <v>3</v>
      </c>
      <c r="D415" s="79">
        <f>C415*B415</f>
        <v>50.295000000000002</v>
      </c>
      <c r="E415" s="75" t="s">
        <v>549</v>
      </c>
      <c r="J415" s="102"/>
    </row>
    <row r="416" spans="1:16" ht="15">
      <c r="A416" s="67" t="s">
        <v>621</v>
      </c>
      <c r="B416" s="78">
        <f>M422</f>
        <v>9.2579999999999991</v>
      </c>
      <c r="C416" s="78">
        <v>4.1500000000000004</v>
      </c>
      <c r="D416" s="79">
        <f>C416*B416</f>
        <v>38.420699999999997</v>
      </c>
      <c r="J416" s="102"/>
    </row>
    <row r="417" spans="1:43" s="56" customFormat="1" ht="15.75" thickBot="1">
      <c r="A417" s="67"/>
      <c r="B417" s="78"/>
      <c r="C417" s="78"/>
      <c r="D417" s="79"/>
      <c r="E417" s="8"/>
      <c r="F417" s="8"/>
      <c r="G417" s="8"/>
      <c r="H417" s="8"/>
      <c r="I417" s="8"/>
      <c r="J417" s="127"/>
      <c r="K417" s="127"/>
      <c r="L417" s="127"/>
      <c r="M417" s="127"/>
      <c r="N417" s="127"/>
      <c r="O417" s="127"/>
      <c r="P417" s="127"/>
      <c r="Q417" s="127"/>
      <c r="R417" s="127"/>
      <c r="S417" s="127"/>
      <c r="T417" s="127"/>
      <c r="U417" s="127"/>
      <c r="V417" s="127"/>
      <c r="W417" s="127"/>
      <c r="X417" s="127"/>
      <c r="Y417" s="127"/>
      <c r="Z417" s="127"/>
      <c r="AA417" s="127"/>
      <c r="AB417" s="127"/>
      <c r="AC417" s="127"/>
      <c r="AD417" s="127"/>
      <c r="AE417" s="127"/>
      <c r="AF417" s="127"/>
      <c r="AG417" s="276"/>
      <c r="AH417" s="127"/>
      <c r="AI417" s="127"/>
      <c r="AJ417" s="127"/>
      <c r="AK417" s="127"/>
      <c r="AL417" s="127"/>
      <c r="AM417" s="127"/>
      <c r="AN417" s="127"/>
      <c r="AO417" s="127"/>
      <c r="AP417" s="127"/>
      <c r="AQ417" s="276"/>
    </row>
    <row r="418" spans="1:43" ht="15.75" thickBot="1">
      <c r="A418" s="958" t="s">
        <v>393</v>
      </c>
      <c r="B418" s="959"/>
      <c r="C418" s="960"/>
      <c r="D418" s="77">
        <f>SUM(D414:D417)</f>
        <v>88.715699999999998</v>
      </c>
    </row>
    <row r="420" spans="1:43" ht="15.75" thickBot="1">
      <c r="A420" s="59" t="s">
        <v>551</v>
      </c>
    </row>
    <row r="421" spans="1:43" ht="15.75" thickBot="1">
      <c r="A421" s="764" t="str">
        <f>A415</f>
        <v>Outer Wall - Full</v>
      </c>
      <c r="B421" s="765">
        <v>12.5</v>
      </c>
      <c r="C421" s="765">
        <v>2.2000000000000002</v>
      </c>
      <c r="D421" s="765">
        <v>2.0649999999999999</v>
      </c>
      <c r="E421" s="765">
        <v>0</v>
      </c>
      <c r="F421" s="765">
        <v>0</v>
      </c>
      <c r="G421" s="765">
        <v>0</v>
      </c>
      <c r="H421" s="765">
        <v>0</v>
      </c>
      <c r="I421" s="765">
        <v>0</v>
      </c>
      <c r="J421" s="765">
        <v>0</v>
      </c>
      <c r="K421" s="765">
        <v>0</v>
      </c>
      <c r="L421" s="765">
        <v>0</v>
      </c>
      <c r="M421" s="282">
        <f>SUM(B421:L421)</f>
        <v>16.765000000000001</v>
      </c>
    </row>
    <row r="422" spans="1:43" ht="15.75" thickBot="1">
      <c r="A422" s="764" t="str">
        <f>A416</f>
        <v xml:space="preserve">Outer wal - 2.0m </v>
      </c>
      <c r="B422" s="765">
        <v>3.5979999999999999</v>
      </c>
      <c r="C422" s="765">
        <v>3.76</v>
      </c>
      <c r="D422" s="765">
        <v>1.9</v>
      </c>
      <c r="E422" s="765">
        <v>0</v>
      </c>
      <c r="F422" s="765">
        <v>0</v>
      </c>
      <c r="G422" s="765">
        <v>0</v>
      </c>
      <c r="H422" s="765">
        <v>0</v>
      </c>
      <c r="I422" s="765">
        <v>0</v>
      </c>
      <c r="J422" s="765">
        <v>0</v>
      </c>
      <c r="K422" s="765">
        <v>0</v>
      </c>
      <c r="L422" s="765">
        <v>0</v>
      </c>
      <c r="M422" s="282">
        <f>SUM(B422:L422)</f>
        <v>9.2579999999999991</v>
      </c>
    </row>
    <row r="424" spans="1:43" ht="15.75" thickBot="1">
      <c r="A424" s="59" t="s">
        <v>552</v>
      </c>
    </row>
    <row r="425" spans="1:43" ht="15.75" customHeight="1" thickBot="1">
      <c r="A425" s="288" t="s">
        <v>382</v>
      </c>
      <c r="B425" s="289" t="s">
        <v>82</v>
      </c>
      <c r="C425" s="289" t="s">
        <v>291</v>
      </c>
      <c r="D425" s="289" t="s">
        <v>383</v>
      </c>
      <c r="E425" s="289" t="s">
        <v>384</v>
      </c>
      <c r="F425" s="289" t="s">
        <v>409</v>
      </c>
      <c r="G425" s="290" t="s">
        <v>532</v>
      </c>
      <c r="H425" s="291" t="s">
        <v>553</v>
      </c>
      <c r="I425" s="291" t="s">
        <v>554</v>
      </c>
      <c r="J425" s="292" t="s">
        <v>555</v>
      </c>
    </row>
    <row r="426" spans="1:43">
      <c r="A426" s="61"/>
      <c r="B426" s="61"/>
      <c r="C426" s="61"/>
      <c r="D426" s="61"/>
      <c r="E426" s="61"/>
      <c r="F426" s="294"/>
      <c r="G426" s="295"/>
      <c r="H426" s="63"/>
      <c r="I426" s="63"/>
      <c r="J426" s="63"/>
    </row>
    <row r="427" spans="1:43" ht="15.75" thickBot="1">
      <c r="A427" s="62" t="s">
        <v>534</v>
      </c>
      <c r="B427" s="72" t="str">
        <f>B400</f>
        <v>W03</v>
      </c>
      <c r="C427" s="72">
        <f>C400</f>
        <v>1</v>
      </c>
      <c r="D427" s="72">
        <f>D400</f>
        <v>1.9</v>
      </c>
      <c r="E427" s="72">
        <f>E400</f>
        <v>1.6</v>
      </c>
      <c r="F427" s="93">
        <f>E427*D427</f>
        <v>3.04</v>
      </c>
      <c r="G427" s="93">
        <f>F427*C427</f>
        <v>3.04</v>
      </c>
      <c r="H427" s="78">
        <f>G427</f>
        <v>3.04</v>
      </c>
      <c r="I427" s="78">
        <f>G427</f>
        <v>3.04</v>
      </c>
      <c r="J427" s="78">
        <f>(D427+E427+D427+E427)*C427*0.15</f>
        <v>1.05</v>
      </c>
    </row>
    <row r="428" spans="1:43" ht="15.75" thickBot="1">
      <c r="A428" s="65"/>
      <c r="B428" s="955" t="s">
        <v>545</v>
      </c>
      <c r="C428" s="956"/>
      <c r="D428" s="956"/>
      <c r="E428" s="956"/>
      <c r="F428" s="957"/>
      <c r="G428" s="293">
        <f>SUM(G426:G427)</f>
        <v>3.04</v>
      </c>
      <c r="H428" s="293">
        <f>SUM(H426:H427)</f>
        <v>3.04</v>
      </c>
      <c r="I428" s="293">
        <f>SUM(I426:I427)</f>
        <v>3.04</v>
      </c>
      <c r="J428" s="77">
        <f>SUM(J426:J427)</f>
        <v>1.05</v>
      </c>
      <c r="K428" s="75"/>
      <c r="L428" s="75"/>
    </row>
    <row r="429" spans="1:43" ht="15">
      <c r="A429" s="63"/>
      <c r="B429" s="72"/>
      <c r="C429" s="73"/>
      <c r="D429" s="73"/>
      <c r="E429" s="73"/>
      <c r="F429" s="93"/>
      <c r="G429" s="296"/>
      <c r="H429" s="78"/>
      <c r="I429" s="78"/>
      <c r="J429" s="78"/>
    </row>
    <row r="430" spans="1:43" s="56" customFormat="1" ht="15">
      <c r="A430" s="62" t="s">
        <v>538</v>
      </c>
      <c r="B430" s="72" t="str">
        <f t="shared" ref="B430:E433" si="59">B402</f>
        <v>W05</v>
      </c>
      <c r="C430" s="72">
        <f t="shared" si="59"/>
        <v>3</v>
      </c>
      <c r="D430" s="72">
        <f t="shared" si="59"/>
        <v>1</v>
      </c>
      <c r="E430" s="72">
        <f t="shared" si="59"/>
        <v>0.7</v>
      </c>
      <c r="F430" s="93">
        <f t="shared" ref="F430:F433" si="60">E430*D430</f>
        <v>0.7</v>
      </c>
      <c r="G430" s="93">
        <f t="shared" ref="G430:G433" si="61">F430*C430</f>
        <v>2.0999999999999996</v>
      </c>
      <c r="H430" s="78">
        <f>G430</f>
        <v>2.0999999999999996</v>
      </c>
      <c r="I430" s="78">
        <f>G430</f>
        <v>2.0999999999999996</v>
      </c>
      <c r="J430" s="78">
        <f>(D430+E430+D430+E430)*C430*0.15</f>
        <v>1.53</v>
      </c>
      <c r="K430" s="277"/>
      <c r="L430" s="277"/>
    </row>
    <row r="431" spans="1:43" s="56" customFormat="1" ht="15">
      <c r="A431" s="62"/>
      <c r="B431" s="72" t="str">
        <f t="shared" si="59"/>
        <v>SD01</v>
      </c>
      <c r="C431" s="72">
        <f t="shared" si="59"/>
        <v>3</v>
      </c>
      <c r="D431" s="72">
        <f t="shared" si="59"/>
        <v>2.335</v>
      </c>
      <c r="E431" s="72">
        <f t="shared" si="59"/>
        <v>2.6</v>
      </c>
      <c r="F431" s="93">
        <f t="shared" si="60"/>
        <v>6.0709999999999997</v>
      </c>
      <c r="G431" s="93">
        <f t="shared" si="61"/>
        <v>18.213000000000001</v>
      </c>
      <c r="H431" s="78">
        <f t="shared" ref="H431:H433" si="62">G431</f>
        <v>18.213000000000001</v>
      </c>
      <c r="I431" s="78">
        <f t="shared" ref="I431:I433" si="63">G431</f>
        <v>18.213000000000001</v>
      </c>
      <c r="J431" s="78">
        <f t="shared" ref="J431:J433" si="64">(D431+E431+D431+E431)*C431*0.15</f>
        <v>4.4415000000000004</v>
      </c>
      <c r="K431" s="277"/>
      <c r="L431" s="277"/>
    </row>
    <row r="432" spans="1:43" s="56" customFormat="1" ht="15">
      <c r="A432" s="62"/>
      <c r="B432" s="72" t="str">
        <f t="shared" si="59"/>
        <v>PD02</v>
      </c>
      <c r="C432" s="72">
        <f t="shared" si="59"/>
        <v>3</v>
      </c>
      <c r="D432" s="72">
        <f t="shared" si="59"/>
        <v>1.65</v>
      </c>
      <c r="E432" s="72">
        <f t="shared" si="59"/>
        <v>2.25</v>
      </c>
      <c r="F432" s="93">
        <f t="shared" si="60"/>
        <v>3.7124999999999999</v>
      </c>
      <c r="G432" s="93">
        <f t="shared" si="61"/>
        <v>11.137499999999999</v>
      </c>
      <c r="H432" s="78">
        <f t="shared" si="62"/>
        <v>11.137499999999999</v>
      </c>
      <c r="I432" s="78">
        <f t="shared" si="63"/>
        <v>11.137499999999999</v>
      </c>
      <c r="J432" s="78">
        <f t="shared" si="64"/>
        <v>3.51</v>
      </c>
      <c r="K432" s="277"/>
      <c r="L432" s="277"/>
    </row>
    <row r="433" spans="1:43" s="56" customFormat="1" ht="15">
      <c r="A433" s="62"/>
      <c r="B433" s="72" t="str">
        <f t="shared" si="59"/>
        <v>D04</v>
      </c>
      <c r="C433" s="72">
        <f t="shared" si="59"/>
        <v>3</v>
      </c>
      <c r="D433" s="72">
        <f t="shared" si="59"/>
        <v>1.1000000000000001</v>
      </c>
      <c r="E433" s="72">
        <f t="shared" si="59"/>
        <v>2.25</v>
      </c>
      <c r="F433" s="93">
        <f t="shared" si="60"/>
        <v>2.4750000000000001</v>
      </c>
      <c r="G433" s="93">
        <f t="shared" si="61"/>
        <v>7.4250000000000007</v>
      </c>
      <c r="H433" s="78">
        <f t="shared" si="62"/>
        <v>7.4250000000000007</v>
      </c>
      <c r="I433" s="78">
        <f t="shared" si="63"/>
        <v>7.4250000000000007</v>
      </c>
      <c r="J433" s="78">
        <f t="shared" si="64"/>
        <v>3.0150000000000001</v>
      </c>
      <c r="K433" s="277"/>
      <c r="L433" s="277"/>
    </row>
    <row r="434" spans="1:43" ht="15.75" thickBot="1">
      <c r="A434" s="63"/>
      <c r="B434" s="72"/>
      <c r="C434" s="73"/>
      <c r="D434" s="73"/>
      <c r="E434" s="73"/>
      <c r="F434" s="93"/>
      <c r="G434" s="296"/>
      <c r="H434" s="78"/>
      <c r="I434" s="78"/>
      <c r="J434" s="78"/>
      <c r="K434" s="75"/>
      <c r="L434" s="75"/>
    </row>
    <row r="435" spans="1:43" ht="15.75" thickBot="1">
      <c r="A435" s="65"/>
      <c r="B435" s="955" t="s">
        <v>545</v>
      </c>
      <c r="C435" s="956"/>
      <c r="D435" s="956"/>
      <c r="E435" s="956"/>
      <c r="F435" s="957"/>
      <c r="G435" s="293">
        <f>SUM(G429:G434)</f>
        <v>38.875500000000002</v>
      </c>
      <c r="H435" s="293">
        <f>SUM(H429:H434)</f>
        <v>38.875500000000002</v>
      </c>
      <c r="I435" s="293">
        <f>SUM(I429:I434)</f>
        <v>38.875500000000002</v>
      </c>
      <c r="J435" s="77">
        <f>SUM(J429:J434)</f>
        <v>12.496500000000001</v>
      </c>
      <c r="K435" s="75"/>
      <c r="L435" s="75"/>
    </row>
    <row r="436" spans="1:43">
      <c r="J436" s="75"/>
      <c r="K436" s="75"/>
      <c r="L436" s="75"/>
    </row>
    <row r="437" spans="1:43" ht="15.75" thickBot="1">
      <c r="A437" s="59" t="s">
        <v>556</v>
      </c>
      <c r="J437" s="75"/>
      <c r="K437" s="75"/>
      <c r="L437" s="75"/>
    </row>
    <row r="438" spans="1:43" ht="15.75" thickBot="1">
      <c r="A438" s="286" t="s">
        <v>557</v>
      </c>
      <c r="B438" s="297">
        <f>D444-I428-H435-I435+J435</f>
        <v>366.34247000000005</v>
      </c>
      <c r="C438" s="282" t="s">
        <v>84</v>
      </c>
      <c r="D438" s="127"/>
      <c r="E438" s="127"/>
      <c r="F438" s="127"/>
      <c r="G438" s="276"/>
      <c r="H438" s="127"/>
      <c r="I438" s="127"/>
      <c r="J438" s="75"/>
      <c r="K438" s="75"/>
      <c r="L438" s="75"/>
    </row>
    <row r="439" spans="1:43" ht="13.5" thickBot="1">
      <c r="J439" s="75"/>
      <c r="K439" s="75"/>
      <c r="L439" s="75"/>
    </row>
    <row r="440" spans="1:43" ht="13.5" thickBot="1">
      <c r="A440" s="283" t="s">
        <v>382</v>
      </c>
      <c r="B440" s="284" t="s">
        <v>383</v>
      </c>
      <c r="C440" s="284" t="s">
        <v>385</v>
      </c>
      <c r="D440" s="285" t="s">
        <v>408</v>
      </c>
      <c r="J440" s="75"/>
      <c r="K440" s="75"/>
      <c r="L440" s="75"/>
    </row>
    <row r="441" spans="1:43">
      <c r="A441" s="61"/>
      <c r="B441" s="82"/>
      <c r="C441" s="82"/>
      <c r="D441" s="82"/>
      <c r="J441" s="75"/>
      <c r="K441" s="75"/>
    </row>
    <row r="442" spans="1:43" ht="15">
      <c r="A442" s="67" t="s">
        <v>558</v>
      </c>
      <c r="B442" s="78">
        <f>P447</f>
        <v>152.5042</v>
      </c>
      <c r="C442" s="78">
        <v>2.85</v>
      </c>
      <c r="D442" s="79">
        <f>C442*B442</f>
        <v>434.63697000000002</v>
      </c>
      <c r="J442" s="102"/>
    </row>
    <row r="443" spans="1:43" ht="13.5" thickBot="1">
      <c r="A443" s="65"/>
      <c r="B443" s="80"/>
      <c r="C443" s="80"/>
      <c r="D443" s="80"/>
    </row>
    <row r="444" spans="1:43" s="56" customFormat="1" ht="15.75" thickBot="1">
      <c r="A444" s="958" t="s">
        <v>393</v>
      </c>
      <c r="B444" s="959"/>
      <c r="C444" s="960"/>
      <c r="D444" s="77">
        <f>SUM(D440:D443)</f>
        <v>434.63697000000002</v>
      </c>
      <c r="E444" s="8"/>
      <c r="F444" s="8"/>
      <c r="G444" s="8"/>
      <c r="H444" s="8"/>
      <c r="I444" s="8"/>
      <c r="J444" s="127"/>
      <c r="K444" s="127"/>
      <c r="L444" s="127"/>
      <c r="M444" s="127"/>
      <c r="N444" s="127"/>
      <c r="O444" s="127"/>
      <c r="P444" s="127"/>
      <c r="Q444" s="127"/>
      <c r="R444" s="127"/>
      <c r="S444" s="127"/>
      <c r="T444" s="127"/>
      <c r="U444" s="127"/>
      <c r="V444" s="127"/>
      <c r="W444" s="127"/>
      <c r="X444" s="127"/>
      <c r="Y444" s="127"/>
      <c r="Z444" s="127"/>
      <c r="AA444" s="127"/>
      <c r="AB444" s="127"/>
      <c r="AC444" s="127"/>
      <c r="AD444" s="127"/>
      <c r="AE444" s="127"/>
      <c r="AF444" s="127"/>
      <c r="AG444" s="276"/>
      <c r="AH444" s="127"/>
      <c r="AI444" s="127"/>
      <c r="AJ444" s="127"/>
      <c r="AK444" s="127"/>
      <c r="AL444" s="127"/>
      <c r="AM444" s="127"/>
      <c r="AN444" s="127"/>
      <c r="AO444" s="127"/>
      <c r="AP444" s="127"/>
      <c r="AQ444" s="276"/>
    </row>
    <row r="446" spans="1:43" ht="15.75" thickBot="1">
      <c r="A446" s="59" t="s">
        <v>551</v>
      </c>
    </row>
    <row r="447" spans="1:43" ht="15.75" thickBot="1">
      <c r="A447" s="764" t="str">
        <f>A442</f>
        <v>Internal Wall</v>
      </c>
      <c r="B447" s="765">
        <v>12.564</v>
      </c>
      <c r="C447" s="765">
        <v>19.850000000000001</v>
      </c>
      <c r="D447" s="765">
        <v>12</v>
      </c>
      <c r="E447" s="765">
        <v>19.625</v>
      </c>
      <c r="F447" s="765">
        <v>32.785200000000003</v>
      </c>
      <c r="G447" s="765">
        <v>11.98</v>
      </c>
      <c r="H447" s="765">
        <v>17.149999999999999</v>
      </c>
      <c r="I447" s="765">
        <v>7.91</v>
      </c>
      <c r="J447" s="765">
        <v>8.2439999999999998</v>
      </c>
      <c r="K447" s="765">
        <v>2.9159999999999999</v>
      </c>
      <c r="L447" s="765">
        <v>5.48</v>
      </c>
      <c r="M447" s="765">
        <v>2</v>
      </c>
      <c r="N447" s="765">
        <v>0</v>
      </c>
      <c r="O447" s="765">
        <v>0</v>
      </c>
      <c r="P447" s="77">
        <f>SUM(B447:O447)</f>
        <v>152.5042</v>
      </c>
    </row>
    <row r="448" spans="1:43" ht="15">
      <c r="J448" s="102"/>
    </row>
    <row r="449" spans="1:25" ht="15.75" thickBot="1">
      <c r="A449" s="59" t="s">
        <v>559</v>
      </c>
      <c r="J449" s="102"/>
      <c r="K449" s="75"/>
    </row>
    <row r="450" spans="1:25" ht="15.75" thickBot="1">
      <c r="A450" s="764" t="s">
        <v>560</v>
      </c>
      <c r="B450" s="767">
        <f>Y454</f>
        <v>118.69999999999999</v>
      </c>
      <c r="C450" s="599" t="s">
        <v>84</v>
      </c>
      <c r="D450" s="275"/>
      <c r="E450" s="127"/>
      <c r="F450" s="127"/>
      <c r="G450" s="276"/>
      <c r="H450" s="127"/>
      <c r="I450" s="127"/>
      <c r="J450" s="102"/>
    </row>
    <row r="451" spans="1:25" ht="15.75" thickBot="1">
      <c r="A451" s="764" t="s">
        <v>561</v>
      </c>
      <c r="B451" s="767">
        <f>Y455</f>
        <v>11</v>
      </c>
      <c r="C451" s="599" t="s">
        <v>84</v>
      </c>
      <c r="D451" s="275"/>
      <c r="E451" s="127"/>
      <c r="F451" s="127"/>
      <c r="G451" s="276"/>
      <c r="H451" s="127"/>
      <c r="I451" s="127"/>
      <c r="J451" s="102"/>
    </row>
    <row r="452" spans="1:25" ht="15">
      <c r="J452" s="102"/>
    </row>
    <row r="453" spans="1:25" ht="15.75" thickBot="1">
      <c r="A453" s="59" t="s">
        <v>562</v>
      </c>
      <c r="J453" s="102"/>
    </row>
    <row r="454" spans="1:25" ht="15.75" thickBot="1">
      <c r="A454" s="764" t="s">
        <v>562</v>
      </c>
      <c r="B454" s="765">
        <v>8.4</v>
      </c>
      <c r="C454" s="765">
        <v>17.850000000000001</v>
      </c>
      <c r="D454" s="765">
        <v>9.32</v>
      </c>
      <c r="E454" s="765">
        <v>7.8</v>
      </c>
      <c r="F454" s="765">
        <v>8.0500000000000007</v>
      </c>
      <c r="G454" s="91">
        <v>7.75</v>
      </c>
      <c r="H454" s="765">
        <v>17.27</v>
      </c>
      <c r="I454" s="765">
        <v>20.38</v>
      </c>
      <c r="J454" s="91">
        <v>17.02</v>
      </c>
      <c r="K454" s="765">
        <v>4.8600000000000003</v>
      </c>
      <c r="L454" s="765">
        <v>0</v>
      </c>
      <c r="M454" s="91">
        <v>0</v>
      </c>
      <c r="N454" s="765">
        <v>0</v>
      </c>
      <c r="O454" s="765">
        <v>0</v>
      </c>
      <c r="P454" s="91">
        <v>0</v>
      </c>
      <c r="Q454" s="765">
        <v>0</v>
      </c>
      <c r="R454" s="765">
        <v>0</v>
      </c>
      <c r="S454" s="91">
        <v>0</v>
      </c>
      <c r="T454" s="765">
        <v>0</v>
      </c>
      <c r="U454" s="765">
        <v>0</v>
      </c>
      <c r="V454" s="91">
        <v>0</v>
      </c>
      <c r="W454" s="765">
        <v>0</v>
      </c>
      <c r="X454" s="765">
        <v>0</v>
      </c>
      <c r="Y454" s="77">
        <f>SUM(B454:X454)</f>
        <v>118.69999999999999</v>
      </c>
    </row>
    <row r="455" spans="1:25" ht="15.75" thickBot="1">
      <c r="A455" s="764" t="str">
        <f>A451</f>
        <v>Stair screeding</v>
      </c>
      <c r="B455" s="765">
        <v>5.5</v>
      </c>
      <c r="C455" s="765">
        <v>5.5</v>
      </c>
      <c r="D455" s="765">
        <v>0</v>
      </c>
      <c r="E455" s="765">
        <v>0</v>
      </c>
      <c r="F455" s="765">
        <v>0</v>
      </c>
      <c r="G455" s="91">
        <v>0</v>
      </c>
      <c r="H455" s="765">
        <v>0</v>
      </c>
      <c r="I455" s="765">
        <v>0</v>
      </c>
      <c r="J455" s="91">
        <v>0</v>
      </c>
      <c r="K455" s="765">
        <v>0</v>
      </c>
      <c r="L455" s="765">
        <v>0</v>
      </c>
      <c r="M455" s="91">
        <v>0</v>
      </c>
      <c r="N455" s="765">
        <v>0</v>
      </c>
      <c r="O455" s="765">
        <v>0</v>
      </c>
      <c r="P455" s="91">
        <v>0</v>
      </c>
      <c r="Q455" s="765">
        <v>0</v>
      </c>
      <c r="R455" s="765">
        <v>0</v>
      </c>
      <c r="S455" s="91">
        <v>0</v>
      </c>
      <c r="T455" s="765">
        <v>0</v>
      </c>
      <c r="U455" s="765">
        <v>0</v>
      </c>
      <c r="V455" s="91">
        <v>0</v>
      </c>
      <c r="W455" s="765">
        <v>0</v>
      </c>
      <c r="X455" s="765">
        <v>0</v>
      </c>
      <c r="Y455" s="77">
        <f>SUM(B455:X455)</f>
        <v>11</v>
      </c>
    </row>
    <row r="457" spans="1:25" ht="15.75" thickBot="1">
      <c r="A457" s="59" t="s">
        <v>563</v>
      </c>
    </row>
    <row r="458" spans="1:25" ht="15.75" thickBot="1">
      <c r="A458" s="326" t="s">
        <v>564</v>
      </c>
      <c r="B458" s="297">
        <f>B411</f>
        <v>86.725699999999989</v>
      </c>
      <c r="C458" s="599" t="s">
        <v>84</v>
      </c>
    </row>
    <row r="459" spans="1:25" ht="15.75" thickBot="1">
      <c r="A459" s="326" t="s">
        <v>565</v>
      </c>
      <c r="B459" s="297">
        <f>B438</f>
        <v>366.34247000000005</v>
      </c>
      <c r="C459" s="599" t="s">
        <v>84</v>
      </c>
    </row>
    <row r="460" spans="1:25" ht="15.75" thickBot="1">
      <c r="A460" s="326" t="s">
        <v>566</v>
      </c>
      <c r="B460" s="297">
        <f>Y463</f>
        <v>125.19999999999999</v>
      </c>
      <c r="C460" s="599" t="s">
        <v>84</v>
      </c>
    </row>
    <row r="462" spans="1:25" ht="15.75" thickBot="1">
      <c r="A462" s="59" t="s">
        <v>566</v>
      </c>
      <c r="J462" s="102"/>
    </row>
    <row r="463" spans="1:25" ht="15.75" thickBot="1">
      <c r="A463" s="764" t="str">
        <f>A460</f>
        <v>Ceiling Paiting</v>
      </c>
      <c r="B463" s="765">
        <v>8.4</v>
      </c>
      <c r="C463" s="765">
        <v>17.850000000000001</v>
      </c>
      <c r="D463" s="765">
        <v>9.32</v>
      </c>
      <c r="E463" s="765">
        <v>7.8</v>
      </c>
      <c r="F463" s="765">
        <v>8.0500000000000007</v>
      </c>
      <c r="G463" s="91">
        <v>7.75</v>
      </c>
      <c r="H463" s="765">
        <v>17.27</v>
      </c>
      <c r="I463" s="765">
        <v>20.38</v>
      </c>
      <c r="J463" s="91">
        <v>17.02</v>
      </c>
      <c r="K463" s="765">
        <v>4.8600000000000003</v>
      </c>
      <c r="L463" s="765">
        <v>6.5</v>
      </c>
      <c r="M463" s="91">
        <v>0</v>
      </c>
      <c r="N463" s="765">
        <v>0</v>
      </c>
      <c r="O463" s="765">
        <v>0</v>
      </c>
      <c r="P463" s="91">
        <v>0</v>
      </c>
      <c r="Q463" s="765">
        <v>0</v>
      </c>
      <c r="R463" s="765">
        <v>0</v>
      </c>
      <c r="S463" s="91">
        <v>0</v>
      </c>
      <c r="T463" s="765">
        <v>0</v>
      </c>
      <c r="U463" s="765">
        <v>0</v>
      </c>
      <c r="V463" s="91">
        <v>0</v>
      </c>
      <c r="W463" s="765">
        <v>0</v>
      </c>
      <c r="X463" s="765">
        <v>0</v>
      </c>
      <c r="Y463" s="77">
        <f>SUM(B463:X463)</f>
        <v>125.19999999999999</v>
      </c>
    </row>
    <row r="465" spans="1:43" ht="15.75" thickBot="1">
      <c r="A465" s="59" t="s">
        <v>567</v>
      </c>
    </row>
    <row r="466" spans="1:43" ht="13.5" thickBot="1">
      <c r="A466" s="298" t="s">
        <v>568</v>
      </c>
      <c r="B466" s="90">
        <f>F471</f>
        <v>52.14</v>
      </c>
      <c r="C466" s="600" t="s">
        <v>84</v>
      </c>
    </row>
    <row r="467" spans="1:43" s="56" customFormat="1" ht="15.75" thickBot="1">
      <c r="A467" s="299" t="s">
        <v>382</v>
      </c>
      <c r="B467" s="300" t="s">
        <v>569</v>
      </c>
      <c r="C467" s="300" t="s">
        <v>409</v>
      </c>
      <c r="D467" s="300" t="s">
        <v>570</v>
      </c>
      <c r="E467" s="300" t="s">
        <v>571</v>
      </c>
      <c r="F467" s="301" t="s">
        <v>572</v>
      </c>
      <c r="G467" s="10"/>
      <c r="H467" s="8"/>
      <c r="I467" s="8"/>
      <c r="J467" s="127"/>
      <c r="K467" s="127"/>
      <c r="L467" s="127"/>
      <c r="M467" s="127"/>
      <c r="N467" s="127"/>
      <c r="O467" s="127"/>
      <c r="P467" s="127"/>
      <c r="Q467" s="127"/>
      <c r="R467" s="127"/>
      <c r="S467" s="127"/>
      <c r="T467" s="127"/>
      <c r="U467" s="127"/>
      <c r="V467" s="127"/>
      <c r="W467" s="127"/>
      <c r="X467" s="127"/>
      <c r="Y467" s="127"/>
      <c r="Z467" s="127"/>
      <c r="AA467" s="127"/>
      <c r="AB467" s="127"/>
      <c r="AC467" s="127"/>
      <c r="AD467" s="127"/>
      <c r="AE467" s="127"/>
      <c r="AF467" s="127"/>
      <c r="AG467" s="276"/>
      <c r="AH467" s="127"/>
      <c r="AI467" s="127"/>
      <c r="AJ467" s="127"/>
      <c r="AK467" s="127"/>
      <c r="AL467" s="127"/>
      <c r="AM467" s="127"/>
      <c r="AN467" s="127"/>
      <c r="AO467" s="127"/>
      <c r="AP467" s="127"/>
      <c r="AQ467" s="276"/>
    </row>
    <row r="468" spans="1:43">
      <c r="A468" s="61"/>
      <c r="B468" s="61"/>
      <c r="C468" s="61"/>
      <c r="D468" s="61"/>
      <c r="E468" s="61"/>
      <c r="F468" s="61"/>
    </row>
    <row r="469" spans="1:43" ht="15">
      <c r="A469" s="68" t="s">
        <v>573</v>
      </c>
      <c r="B469" s="64" t="s">
        <v>574</v>
      </c>
      <c r="C469" s="78">
        <f>Q474</f>
        <v>52.14</v>
      </c>
      <c r="D469" s="78">
        <f>Q475</f>
        <v>0</v>
      </c>
      <c r="E469" s="78">
        <f>0.1*D469</f>
        <v>0</v>
      </c>
      <c r="F469" s="79">
        <f>E469+C469</f>
        <v>52.14</v>
      </c>
      <c r="G469" s="60"/>
    </row>
    <row r="470" spans="1:43" s="56" customFormat="1" ht="15.75" thickBot="1">
      <c r="A470" s="68"/>
      <c r="B470" s="64"/>
      <c r="C470" s="78"/>
      <c r="D470" s="78"/>
      <c r="E470" s="78"/>
      <c r="F470" s="79"/>
      <c r="G470" s="60"/>
      <c r="H470" s="8"/>
      <c r="I470" s="8"/>
      <c r="J470" s="127"/>
      <c r="K470" s="127"/>
      <c r="L470" s="127"/>
      <c r="M470" s="127"/>
      <c r="N470" s="127"/>
      <c r="O470" s="127"/>
      <c r="P470" s="127"/>
      <c r="Q470" s="127"/>
      <c r="R470" s="127"/>
      <c r="S470" s="127"/>
      <c r="T470" s="127"/>
      <c r="U470" s="127"/>
      <c r="V470" s="127"/>
      <c r="W470" s="127"/>
      <c r="X470" s="127"/>
      <c r="Y470" s="127"/>
      <c r="Z470" s="127"/>
      <c r="AA470" s="127"/>
      <c r="AB470" s="127"/>
      <c r="AC470" s="127"/>
      <c r="AD470" s="127"/>
      <c r="AE470" s="127"/>
      <c r="AF470" s="127"/>
      <c r="AG470" s="276"/>
      <c r="AH470" s="127"/>
      <c r="AI470" s="127"/>
      <c r="AJ470" s="127"/>
      <c r="AK470" s="127"/>
      <c r="AL470" s="127"/>
      <c r="AM470" s="127"/>
      <c r="AN470" s="127"/>
      <c r="AO470" s="127"/>
      <c r="AP470" s="127"/>
      <c r="AQ470" s="276"/>
    </row>
    <row r="471" spans="1:43" ht="13.5" thickBot="1">
      <c r="A471" s="964" t="s">
        <v>393</v>
      </c>
      <c r="B471" s="965"/>
      <c r="C471" s="965"/>
      <c r="D471" s="965"/>
      <c r="E471" s="966"/>
      <c r="F471" s="111">
        <f>SUM(F469:F470)</f>
        <v>52.14</v>
      </c>
    </row>
    <row r="473" spans="1:43" ht="15.75" thickBot="1">
      <c r="A473" s="59" t="s">
        <v>575</v>
      </c>
    </row>
    <row r="474" spans="1:43" ht="15">
      <c r="A474" s="764" t="s">
        <v>576</v>
      </c>
      <c r="B474" s="765">
        <v>17.850000000000001</v>
      </c>
      <c r="C474" s="765">
        <v>17.27</v>
      </c>
      <c r="D474" s="765">
        <v>17.02</v>
      </c>
      <c r="E474" s="765">
        <v>0</v>
      </c>
      <c r="F474" s="765">
        <v>0</v>
      </c>
      <c r="G474" s="765">
        <v>0</v>
      </c>
      <c r="H474" s="765">
        <v>0</v>
      </c>
      <c r="I474" s="765">
        <v>0</v>
      </c>
      <c r="J474" s="765">
        <v>0</v>
      </c>
      <c r="K474" s="765">
        <v>0</v>
      </c>
      <c r="L474" s="765">
        <v>0</v>
      </c>
      <c r="M474" s="765">
        <v>0</v>
      </c>
      <c r="N474" s="765">
        <v>0</v>
      </c>
      <c r="O474" s="765">
        <v>0</v>
      </c>
      <c r="P474" s="765">
        <v>0</v>
      </c>
      <c r="Q474" s="302">
        <f>SUM(B474:P474)</f>
        <v>52.14</v>
      </c>
    </row>
    <row r="475" spans="1:43" ht="15.75" thickBot="1">
      <c r="A475" s="764" t="s">
        <v>570</v>
      </c>
      <c r="B475" s="765">
        <v>0</v>
      </c>
      <c r="C475" s="765">
        <v>0</v>
      </c>
      <c r="D475" s="765">
        <v>0</v>
      </c>
      <c r="E475" s="765">
        <v>0</v>
      </c>
      <c r="F475" s="765">
        <v>0</v>
      </c>
      <c r="G475" s="765">
        <v>0</v>
      </c>
      <c r="H475" s="765">
        <v>0</v>
      </c>
      <c r="I475" s="765">
        <v>0</v>
      </c>
      <c r="J475" s="765">
        <v>0</v>
      </c>
      <c r="K475" s="765">
        <v>0</v>
      </c>
      <c r="L475" s="765">
        <v>0</v>
      </c>
      <c r="M475" s="765">
        <v>0</v>
      </c>
      <c r="N475" s="765">
        <v>0</v>
      </c>
      <c r="O475" s="765">
        <v>0</v>
      </c>
      <c r="P475" s="765">
        <v>0</v>
      </c>
      <c r="Q475" s="303">
        <f>SUM(B475:P475)</f>
        <v>0</v>
      </c>
    </row>
    <row r="476" spans="1:43" ht="13.5" thickBot="1"/>
    <row r="477" spans="1:43" ht="13.5" thickBot="1">
      <c r="A477" s="298" t="s">
        <v>577</v>
      </c>
      <c r="B477" s="90">
        <f>D482</f>
        <v>23.66</v>
      </c>
      <c r="C477" s="83" t="s">
        <v>84</v>
      </c>
    </row>
    <row r="478" spans="1:43" ht="13.5" thickBot="1">
      <c r="A478" s="283" t="s">
        <v>382</v>
      </c>
      <c r="B478" s="284" t="s">
        <v>569</v>
      </c>
      <c r="C478" s="284" t="s">
        <v>409</v>
      </c>
      <c r="D478" s="285" t="s">
        <v>572</v>
      </c>
      <c r="E478" s="10"/>
    </row>
    <row r="479" spans="1:43" ht="15">
      <c r="A479" s="84" t="s">
        <v>578</v>
      </c>
      <c r="B479" s="66" t="s">
        <v>579</v>
      </c>
      <c r="C479" s="82">
        <f>K485</f>
        <v>23.66</v>
      </c>
      <c r="D479" s="88">
        <f>C479</f>
        <v>23.66</v>
      </c>
      <c r="E479" s="60"/>
    </row>
    <row r="480" spans="1:43" ht="15">
      <c r="A480" s="68"/>
      <c r="B480" s="85"/>
      <c r="C480" s="78"/>
      <c r="D480" s="79"/>
      <c r="E480" s="60"/>
    </row>
    <row r="481" spans="1:43" ht="15.75" thickBot="1">
      <c r="A481" s="68"/>
      <c r="B481" s="85"/>
      <c r="C481" s="78"/>
      <c r="D481" s="79"/>
      <c r="E481" s="60"/>
    </row>
    <row r="482" spans="1:43" ht="13.5" thickBot="1">
      <c r="A482" s="967" t="s">
        <v>393</v>
      </c>
      <c r="B482" s="959"/>
      <c r="C482" s="960"/>
      <c r="D482" s="111">
        <f>SUM(D479:D481)</f>
        <v>23.66</v>
      </c>
    </row>
    <row r="483" spans="1:43" s="56" customFormat="1" ht="15">
      <c r="A483" s="8"/>
      <c r="B483" s="8"/>
      <c r="C483" s="8"/>
      <c r="D483" s="8"/>
      <c r="E483" s="8"/>
      <c r="F483" s="8"/>
      <c r="G483" s="8"/>
      <c r="H483" s="8"/>
      <c r="I483" s="8"/>
      <c r="AH483" s="127"/>
      <c r="AI483" s="127"/>
      <c r="AJ483" s="127"/>
      <c r="AK483" s="127"/>
      <c r="AL483" s="127"/>
      <c r="AM483" s="127"/>
      <c r="AN483" s="127"/>
      <c r="AO483" s="127"/>
      <c r="AP483" s="127"/>
      <c r="AQ483" s="276"/>
    </row>
    <row r="484" spans="1:43" ht="15.75" thickBot="1">
      <c r="A484" s="59" t="s">
        <v>575</v>
      </c>
    </row>
    <row r="485" spans="1:43" ht="15.75" thickBot="1">
      <c r="A485" s="764" t="s">
        <v>576</v>
      </c>
      <c r="B485" s="765">
        <v>8.1300000000000008</v>
      </c>
      <c r="C485" s="765">
        <v>7.78</v>
      </c>
      <c r="D485" s="765">
        <v>7.75</v>
      </c>
      <c r="E485" s="765">
        <v>0</v>
      </c>
      <c r="F485" s="765">
        <v>0</v>
      </c>
      <c r="G485" s="765">
        <v>0</v>
      </c>
      <c r="H485" s="765">
        <v>0</v>
      </c>
      <c r="I485" s="765">
        <v>0</v>
      </c>
      <c r="J485" s="765">
        <v>0</v>
      </c>
      <c r="K485" s="282">
        <f>SUM(B485:J485)</f>
        <v>23.66</v>
      </c>
      <c r="L485" s="278"/>
      <c r="M485" s="127"/>
      <c r="N485" s="127"/>
      <c r="O485" s="127"/>
      <c r="P485" s="127"/>
      <c r="Q485" s="127"/>
      <c r="R485" s="127"/>
      <c r="S485" s="127"/>
      <c r="T485" s="127"/>
      <c r="U485" s="127"/>
      <c r="V485" s="127"/>
      <c r="W485" s="127"/>
      <c r="X485" s="127"/>
      <c r="Y485" s="127"/>
      <c r="Z485" s="127"/>
      <c r="AA485" s="127"/>
      <c r="AB485" s="127"/>
      <c r="AC485" s="127"/>
      <c r="AD485" s="127"/>
      <c r="AE485" s="127"/>
      <c r="AF485" s="127"/>
    </row>
    <row r="487" spans="1:43" ht="13.5" thickBot="1"/>
    <row r="488" spans="1:43" ht="13.5" thickBot="1">
      <c r="A488" s="304" t="s">
        <v>580</v>
      </c>
      <c r="B488" s="86">
        <f>E494</f>
        <v>87.33</v>
      </c>
      <c r="C488" s="87" t="s">
        <v>84</v>
      </c>
    </row>
    <row r="489" spans="1:43" ht="13.5" thickBot="1">
      <c r="A489" s="283" t="s">
        <v>382</v>
      </c>
      <c r="B489" s="284" t="s">
        <v>569</v>
      </c>
      <c r="C489" s="305" t="s">
        <v>383</v>
      </c>
      <c r="D489" s="305" t="s">
        <v>385</v>
      </c>
      <c r="E489" s="285" t="s">
        <v>572</v>
      </c>
    </row>
    <row r="490" spans="1:43" ht="15">
      <c r="A490" s="84" t="s">
        <v>581</v>
      </c>
      <c r="B490" s="66" t="s">
        <v>582</v>
      </c>
      <c r="C490" s="82">
        <f>K497</f>
        <v>36.564</v>
      </c>
      <c r="D490" s="88">
        <v>2.5</v>
      </c>
      <c r="E490" s="88">
        <f>D490*C490</f>
        <v>91.41</v>
      </c>
    </row>
    <row r="491" spans="1:43" ht="15">
      <c r="A491" s="68"/>
      <c r="B491" s="85"/>
      <c r="C491" s="78"/>
      <c r="D491" s="79"/>
      <c r="E491" s="79"/>
    </row>
    <row r="492" spans="1:43" s="56" customFormat="1" ht="15">
      <c r="A492" s="279" t="s">
        <v>583</v>
      </c>
      <c r="B492" s="85"/>
      <c r="C492" s="78">
        <v>0</v>
      </c>
      <c r="D492" s="79">
        <v>0</v>
      </c>
      <c r="E492" s="79">
        <f>K498</f>
        <v>4.08</v>
      </c>
      <c r="F492" s="8"/>
      <c r="G492" s="8"/>
      <c r="H492" s="8"/>
      <c r="I492" s="8"/>
      <c r="AH492" s="127"/>
      <c r="AI492" s="127"/>
      <c r="AJ492" s="127"/>
      <c r="AK492" s="127"/>
      <c r="AL492" s="127"/>
      <c r="AM492" s="127"/>
      <c r="AN492" s="127"/>
      <c r="AO492" s="127"/>
      <c r="AP492" s="127"/>
      <c r="AQ492" s="276"/>
    </row>
    <row r="493" spans="1:43" ht="15.75" thickBot="1">
      <c r="A493" s="68"/>
      <c r="B493" s="85"/>
      <c r="C493" s="78"/>
      <c r="D493" s="79"/>
      <c r="E493" s="79"/>
    </row>
    <row r="494" spans="1:43" ht="13.5" thickBot="1">
      <c r="A494" s="967" t="s">
        <v>393</v>
      </c>
      <c r="B494" s="959"/>
      <c r="C494" s="959"/>
      <c r="D494" s="960"/>
      <c r="E494" s="111">
        <f>E490-E492</f>
        <v>87.33</v>
      </c>
    </row>
    <row r="496" spans="1:43" ht="15.75" thickBot="1">
      <c r="A496" s="59" t="s">
        <v>584</v>
      </c>
    </row>
    <row r="497" spans="1:32" ht="15.75" thickBot="1">
      <c r="A497" s="764" t="s">
        <v>383</v>
      </c>
      <c r="B497" s="765">
        <v>12.564</v>
      </c>
      <c r="C497" s="765">
        <v>12</v>
      </c>
      <c r="D497" s="765">
        <v>12</v>
      </c>
      <c r="E497" s="765">
        <v>0</v>
      </c>
      <c r="F497" s="765">
        <v>0</v>
      </c>
      <c r="G497" s="765">
        <v>0</v>
      </c>
      <c r="H497" s="765">
        <v>0</v>
      </c>
      <c r="I497" s="765">
        <v>0</v>
      </c>
      <c r="J497" s="765">
        <v>0</v>
      </c>
      <c r="K497" s="282">
        <f>SUM(B497:J497)</f>
        <v>36.564</v>
      </c>
      <c r="L497" s="278"/>
      <c r="M497" s="127"/>
      <c r="N497" s="127"/>
      <c r="O497" s="127"/>
      <c r="P497" s="127"/>
      <c r="Q497" s="127"/>
      <c r="R497" s="127"/>
      <c r="S497" s="127"/>
      <c r="T497" s="127"/>
      <c r="U497" s="127"/>
      <c r="V497" s="127"/>
      <c r="W497" s="127"/>
      <c r="X497" s="127"/>
      <c r="Y497" s="127"/>
      <c r="Z497" s="127"/>
      <c r="AA497" s="127"/>
      <c r="AB497" s="127"/>
      <c r="AC497" s="127"/>
      <c r="AD497" s="127"/>
      <c r="AE497" s="127"/>
      <c r="AF497" s="127"/>
    </row>
    <row r="498" spans="1:32" ht="15.75" thickBot="1">
      <c r="A498" s="764" t="s">
        <v>447</v>
      </c>
      <c r="B498" s="768">
        <v>1.36</v>
      </c>
      <c r="C498" s="768">
        <v>1.36</v>
      </c>
      <c r="D498" s="768">
        <v>1.36</v>
      </c>
      <c r="E498" s="768">
        <v>0</v>
      </c>
      <c r="F498" s="768">
        <v>0</v>
      </c>
      <c r="G498" s="768">
        <v>0</v>
      </c>
      <c r="H498" s="768">
        <v>0</v>
      </c>
      <c r="I498" s="768">
        <v>0</v>
      </c>
      <c r="J498" s="765">
        <v>0</v>
      </c>
      <c r="K498" s="282">
        <f>SUM(B498:J498)</f>
        <v>4.08</v>
      </c>
      <c r="L498" s="278"/>
      <c r="M498" s="127"/>
      <c r="N498" s="127"/>
      <c r="O498" s="127"/>
      <c r="P498" s="127"/>
      <c r="Q498" s="127"/>
      <c r="R498" s="127"/>
      <c r="S498" s="127"/>
      <c r="T498" s="127"/>
      <c r="U498" s="127"/>
      <c r="V498" s="127"/>
      <c r="W498" s="127"/>
      <c r="X498" s="127"/>
      <c r="Y498" s="127"/>
      <c r="Z498" s="127"/>
      <c r="AA498" s="127"/>
      <c r="AB498" s="127"/>
      <c r="AC498" s="127"/>
      <c r="AD498" s="127"/>
      <c r="AE498" s="127"/>
      <c r="AF498" s="127"/>
    </row>
    <row r="500" spans="1:32" ht="13.5" thickBot="1"/>
    <row r="501" spans="1:32" ht="13.5" thickBot="1">
      <c r="A501" s="304" t="s">
        <v>585</v>
      </c>
      <c r="B501" s="325">
        <f>E507</f>
        <v>9.8604000000000003</v>
      </c>
      <c r="C501" s="87" t="s">
        <v>84</v>
      </c>
    </row>
    <row r="502" spans="1:32" ht="13.5" thickBot="1">
      <c r="A502" s="283" t="s">
        <v>382</v>
      </c>
      <c r="B502" s="305" t="s">
        <v>291</v>
      </c>
      <c r="C502" s="305" t="s">
        <v>383</v>
      </c>
      <c r="D502" s="305" t="s">
        <v>385</v>
      </c>
      <c r="E502" s="285" t="s">
        <v>572</v>
      </c>
    </row>
    <row r="503" spans="1:32" ht="15">
      <c r="A503" s="84" t="s">
        <v>586</v>
      </c>
      <c r="B503" s="66">
        <v>1</v>
      </c>
      <c r="C503" s="82">
        <v>2.75</v>
      </c>
      <c r="D503" s="601">
        <v>2</v>
      </c>
      <c r="E503" s="88">
        <f>B503*C503*D503</f>
        <v>5.5</v>
      </c>
    </row>
    <row r="504" spans="1:32" ht="15">
      <c r="A504" s="68" t="s">
        <v>587</v>
      </c>
      <c r="B504" s="85">
        <v>20</v>
      </c>
      <c r="C504" s="78">
        <v>0.98799999999999999</v>
      </c>
      <c r="D504" s="602">
        <v>0.16500000000000001</v>
      </c>
      <c r="E504" s="79">
        <f>D504*C504*B504</f>
        <v>3.2603999999999997</v>
      </c>
    </row>
    <row r="505" spans="1:32" ht="15">
      <c r="A505" s="68" t="s">
        <v>588</v>
      </c>
      <c r="B505" s="85">
        <v>1</v>
      </c>
      <c r="C505" s="78">
        <f>K510</f>
        <v>11</v>
      </c>
      <c r="D505" s="602">
        <v>0.1</v>
      </c>
      <c r="E505" s="79">
        <f>D505*C505*B505</f>
        <v>1.1000000000000001</v>
      </c>
    </row>
    <row r="506" spans="1:32" ht="15.75" thickBot="1">
      <c r="A506" s="68"/>
      <c r="B506" s="85"/>
      <c r="C506" s="78"/>
      <c r="D506" s="79"/>
      <c r="E506" s="79"/>
    </row>
    <row r="507" spans="1:32" ht="13.5" thickBot="1">
      <c r="A507" s="967" t="s">
        <v>393</v>
      </c>
      <c r="B507" s="959"/>
      <c r="C507" s="959"/>
      <c r="D507" s="960"/>
      <c r="E507" s="111">
        <f>SUM(E503:E506)</f>
        <v>9.8604000000000003</v>
      </c>
    </row>
    <row r="509" spans="1:32" ht="15.75" thickBot="1">
      <c r="A509" s="59" t="s">
        <v>113</v>
      </c>
    </row>
    <row r="510" spans="1:32" ht="15.75" thickBot="1">
      <c r="A510" s="769" t="s">
        <v>588</v>
      </c>
      <c r="B510" s="765">
        <v>4.2</v>
      </c>
      <c r="C510" s="765">
        <v>4.2</v>
      </c>
      <c r="D510" s="765">
        <v>2.6</v>
      </c>
      <c r="E510" s="765">
        <v>0</v>
      </c>
      <c r="F510" s="765">
        <v>0</v>
      </c>
      <c r="G510" s="765">
        <v>0</v>
      </c>
      <c r="H510" s="765">
        <v>0</v>
      </c>
      <c r="I510" s="765">
        <v>0</v>
      </c>
      <c r="J510" s="765">
        <v>0</v>
      </c>
      <c r="K510" s="282">
        <f>SUM(B510:J510)</f>
        <v>11</v>
      </c>
      <c r="L510" s="278"/>
      <c r="M510" s="127"/>
      <c r="N510" s="127"/>
      <c r="O510" s="127"/>
      <c r="P510" s="127"/>
      <c r="Q510" s="127"/>
      <c r="R510" s="127"/>
      <c r="S510" s="127"/>
      <c r="T510" s="127"/>
      <c r="U510" s="127"/>
      <c r="V510" s="127"/>
      <c r="W510" s="127"/>
      <c r="X510" s="127"/>
      <c r="Y510" s="127"/>
      <c r="Z510" s="127"/>
      <c r="AA510" s="127"/>
      <c r="AB510" s="127"/>
      <c r="AC510" s="127"/>
      <c r="AD510" s="127"/>
      <c r="AE510" s="127"/>
      <c r="AF510" s="127"/>
    </row>
    <row r="511" spans="1:32" ht="15.75" customHeight="1" thickBot="1"/>
    <row r="512" spans="1:32" ht="13.5" thickBot="1">
      <c r="A512" s="304" t="s">
        <v>589</v>
      </c>
      <c r="B512" s="325">
        <v>4.2</v>
      </c>
      <c r="C512" s="87" t="s">
        <v>84</v>
      </c>
    </row>
    <row r="513" spans="1:43" ht="13.5" thickBot="1">
      <c r="A513" s="283" t="s">
        <v>382</v>
      </c>
      <c r="B513" s="305" t="s">
        <v>291</v>
      </c>
      <c r="C513" s="305" t="s">
        <v>383</v>
      </c>
      <c r="D513" s="305" t="s">
        <v>385</v>
      </c>
      <c r="E513" s="285" t="s">
        <v>572</v>
      </c>
    </row>
    <row r="514" spans="1:43" ht="15">
      <c r="A514" s="84" t="s">
        <v>590</v>
      </c>
      <c r="B514" s="66">
        <v>0</v>
      </c>
      <c r="C514" s="82">
        <v>0</v>
      </c>
      <c r="D514" s="88">
        <v>0</v>
      </c>
      <c r="E514" s="79">
        <f>D514*C514*B514</f>
        <v>0</v>
      </c>
    </row>
    <row r="515" spans="1:43" ht="15">
      <c r="A515" s="68" t="s">
        <v>591</v>
      </c>
      <c r="B515" s="85">
        <v>0</v>
      </c>
      <c r="C515" s="78">
        <v>0</v>
      </c>
      <c r="D515" s="79">
        <v>0</v>
      </c>
      <c r="E515" s="79">
        <f>D515*C515*B515</f>
        <v>0</v>
      </c>
    </row>
    <row r="516" spans="1:43" ht="15">
      <c r="A516" s="68" t="s">
        <v>592</v>
      </c>
      <c r="B516" s="85">
        <v>0</v>
      </c>
      <c r="C516" s="78">
        <v>0</v>
      </c>
      <c r="D516" s="79">
        <v>0</v>
      </c>
      <c r="E516" s="79">
        <f>D516*C516*B516</f>
        <v>0</v>
      </c>
    </row>
    <row r="517" spans="1:43" ht="15.75" thickBot="1">
      <c r="A517" s="68"/>
      <c r="B517" s="85">
        <v>0</v>
      </c>
      <c r="C517" s="78"/>
      <c r="D517" s="79"/>
      <c r="E517" s="79"/>
    </row>
    <row r="518" spans="1:43" ht="13.5" thickBot="1">
      <c r="A518" s="967" t="s">
        <v>393</v>
      </c>
      <c r="B518" s="959"/>
      <c r="C518" s="959"/>
      <c r="D518" s="960"/>
      <c r="E518" s="111">
        <f>SUM(E514:E517)</f>
        <v>0</v>
      </c>
    </row>
    <row r="521" spans="1:43" s="56" customFormat="1" ht="15.75" thickBot="1">
      <c r="A521" s="59" t="s">
        <v>593</v>
      </c>
      <c r="B521" s="8"/>
      <c r="C521" s="8"/>
      <c r="D521" s="8"/>
      <c r="E521" s="8"/>
      <c r="F521" s="8"/>
      <c r="G521" s="8"/>
      <c r="H521" s="8"/>
      <c r="I521" s="8"/>
      <c r="J521" s="127"/>
      <c r="K521" s="127"/>
      <c r="L521" s="127"/>
      <c r="M521" s="127"/>
      <c r="N521" s="127"/>
      <c r="O521" s="127"/>
      <c r="P521" s="127"/>
      <c r="Q521" s="127"/>
      <c r="R521" s="127"/>
      <c r="S521" s="127"/>
      <c r="T521" s="127"/>
      <c r="U521" s="127"/>
      <c r="V521" s="127"/>
      <c r="W521" s="127"/>
      <c r="X521" s="127"/>
      <c r="Y521" s="127"/>
      <c r="Z521" s="127"/>
      <c r="AA521" s="127"/>
      <c r="AB521" s="127"/>
      <c r="AC521" s="127"/>
      <c r="AD521" s="127"/>
      <c r="AE521" s="127"/>
      <c r="AF521" s="276"/>
      <c r="AG521" s="127"/>
      <c r="AH521" s="127"/>
      <c r="AI521" s="127"/>
      <c r="AJ521" s="127"/>
      <c r="AK521" s="127"/>
      <c r="AL521" s="127"/>
      <c r="AM521" s="127"/>
      <c r="AN521" s="127"/>
      <c r="AO521" s="127"/>
      <c r="AP521" s="127"/>
      <c r="AQ521" s="276"/>
    </row>
    <row r="522" spans="1:43" s="56" customFormat="1" ht="15.75" thickBot="1">
      <c r="A522" s="764" t="s">
        <v>594</v>
      </c>
      <c r="B522" s="767">
        <f>K525</f>
        <v>23.66</v>
      </c>
      <c r="C522" s="282" t="s">
        <v>84</v>
      </c>
      <c r="D522" s="275" t="s">
        <v>595</v>
      </c>
      <c r="E522" s="127"/>
      <c r="F522" s="127"/>
      <c r="G522" s="276"/>
      <c r="H522" s="127"/>
      <c r="I522" s="127"/>
      <c r="J522" s="281"/>
      <c r="K522" s="281"/>
      <c r="L522" s="281"/>
      <c r="M522" s="281"/>
      <c r="N522" s="281"/>
      <c r="O522" s="281"/>
      <c r="P522" s="281"/>
      <c r="Q522" s="281"/>
      <c r="R522" s="281"/>
      <c r="S522" s="281"/>
      <c r="T522" s="281"/>
      <c r="U522" s="281"/>
      <c r="V522" s="281"/>
      <c r="W522" s="281"/>
      <c r="X522" s="281"/>
      <c r="Y522" s="281"/>
      <c r="Z522" s="281"/>
      <c r="AA522" s="281"/>
      <c r="AB522" s="281"/>
      <c r="AC522" s="281"/>
      <c r="AD522" s="281"/>
      <c r="AE522" s="281"/>
      <c r="AF522" s="276"/>
      <c r="AG522" s="127"/>
      <c r="AH522" s="127"/>
      <c r="AI522" s="127"/>
      <c r="AJ522" s="127"/>
      <c r="AK522" s="127"/>
      <c r="AL522" s="127"/>
      <c r="AM522" s="127"/>
      <c r="AN522" s="127"/>
      <c r="AO522" s="127"/>
      <c r="AP522" s="127"/>
      <c r="AQ522" s="276"/>
    </row>
    <row r="523" spans="1:43" s="56" customFormat="1" ht="15">
      <c r="A523" s="8"/>
      <c r="B523" s="8"/>
      <c r="C523" s="8"/>
      <c r="D523" s="8"/>
      <c r="E523" s="8"/>
      <c r="F523" s="8"/>
      <c r="G523" s="8"/>
      <c r="H523" s="8"/>
      <c r="I523" s="8"/>
      <c r="J523" s="127"/>
      <c r="K523" s="127"/>
      <c r="L523" s="127"/>
      <c r="M523" s="127"/>
      <c r="N523" s="127"/>
      <c r="O523" s="127"/>
      <c r="P523" s="127"/>
      <c r="Q523" s="127"/>
      <c r="R523" s="127"/>
      <c r="S523" s="127"/>
      <c r="T523" s="127"/>
      <c r="U523" s="127"/>
      <c r="V523" s="127"/>
      <c r="W523" s="127"/>
      <c r="X523" s="127"/>
      <c r="Y523" s="127"/>
      <c r="Z523" s="127"/>
      <c r="AA523" s="127"/>
      <c r="AB523" s="127"/>
      <c r="AC523" s="127"/>
      <c r="AD523" s="127"/>
      <c r="AE523" s="127"/>
      <c r="AF523" s="276"/>
      <c r="AG523" s="127"/>
      <c r="AH523" s="127"/>
      <c r="AI523" s="127"/>
      <c r="AJ523" s="127"/>
      <c r="AK523" s="127"/>
      <c r="AL523" s="127"/>
      <c r="AM523" s="127"/>
      <c r="AN523" s="127"/>
      <c r="AO523" s="127"/>
      <c r="AP523" s="127"/>
      <c r="AQ523" s="276"/>
    </row>
    <row r="524" spans="1:43" ht="15.75" thickBot="1">
      <c r="A524" s="59" t="s">
        <v>409</v>
      </c>
    </row>
    <row r="525" spans="1:43" ht="15.75" thickBot="1">
      <c r="A525" s="764" t="str">
        <f>A522</f>
        <v>Gypsum ceiling</v>
      </c>
      <c r="B525" s="765">
        <v>8.1300000000000008</v>
      </c>
      <c r="C525" s="765">
        <v>7.78</v>
      </c>
      <c r="D525" s="765">
        <v>7.75</v>
      </c>
      <c r="E525" s="765">
        <v>0</v>
      </c>
      <c r="F525" s="765">
        <v>0</v>
      </c>
      <c r="G525" s="91">
        <v>0</v>
      </c>
      <c r="H525" s="765">
        <v>0</v>
      </c>
      <c r="I525" s="765">
        <v>0</v>
      </c>
      <c r="J525" s="765">
        <v>0</v>
      </c>
      <c r="K525" s="282">
        <f>SUM(B525:J525)</f>
        <v>23.66</v>
      </c>
      <c r="L525" s="306"/>
      <c r="Y525" s="102"/>
    </row>
    <row r="527" spans="1:43" ht="13.5" thickBot="1"/>
    <row r="528" spans="1:43" ht="13.5" thickBot="1">
      <c r="A528" s="304" t="s">
        <v>596</v>
      </c>
      <c r="B528" s="86"/>
      <c r="C528" s="87"/>
    </row>
    <row r="529" spans="1:43" ht="13.5" thickBot="1">
      <c r="A529" s="283" t="s">
        <v>382</v>
      </c>
      <c r="B529" s="305" t="s">
        <v>624</v>
      </c>
      <c r="C529" s="305" t="s">
        <v>625</v>
      </c>
      <c r="D529" s="305" t="s">
        <v>626</v>
      </c>
      <c r="E529" s="308" t="s">
        <v>572</v>
      </c>
      <c r="F529" s="604"/>
      <c r="G529" s="18"/>
      <c r="H529" s="18"/>
      <c r="I529" s="18"/>
      <c r="J529" s="18"/>
    </row>
    <row r="530" spans="1:43" s="56" customFormat="1" ht="15">
      <c r="A530" s="84"/>
      <c r="B530" s="66"/>
      <c r="C530" s="82"/>
      <c r="D530" s="82"/>
      <c r="E530" s="82"/>
      <c r="F530" s="74"/>
      <c r="G530" s="75"/>
      <c r="H530" s="75"/>
      <c r="I530" s="75"/>
      <c r="J530" s="75"/>
      <c r="K530" s="127"/>
      <c r="L530" s="127"/>
      <c r="M530" s="127"/>
      <c r="N530" s="127"/>
      <c r="O530" s="127"/>
      <c r="P530" s="127"/>
      <c r="Q530" s="127"/>
      <c r="R530" s="127"/>
      <c r="S530" s="127"/>
      <c r="T530" s="127"/>
      <c r="U530" s="127"/>
      <c r="V530" s="127"/>
      <c r="W530" s="127"/>
      <c r="X530" s="127"/>
      <c r="Y530" s="127"/>
      <c r="Z530" s="127"/>
      <c r="AA530" s="127"/>
      <c r="AB530" s="127"/>
      <c r="AC530" s="127"/>
      <c r="AD530" s="127"/>
      <c r="AE530" s="127"/>
      <c r="AF530" s="127"/>
      <c r="AG530" s="276"/>
      <c r="AH530" s="127"/>
      <c r="AI530" s="127"/>
      <c r="AJ530" s="127"/>
      <c r="AK530" s="127"/>
      <c r="AL530" s="127"/>
      <c r="AM530" s="127"/>
      <c r="AN530" s="127"/>
      <c r="AO530" s="127"/>
      <c r="AP530" s="127"/>
      <c r="AQ530" s="276"/>
    </row>
    <row r="531" spans="1:43">
      <c r="A531" s="68" t="s">
        <v>599</v>
      </c>
      <c r="B531" s="309">
        <v>1</v>
      </c>
      <c r="C531" s="309">
        <v>1</v>
      </c>
      <c r="D531" s="309">
        <v>1</v>
      </c>
      <c r="E531" s="324">
        <f>B531+C531+D531</f>
        <v>3</v>
      </c>
      <c r="F531" s="603"/>
      <c r="G531" s="307"/>
      <c r="H531" s="307"/>
      <c r="I531" s="307"/>
      <c r="J531" s="307"/>
    </row>
    <row r="532" spans="1:43">
      <c r="A532" s="68" t="s">
        <v>601</v>
      </c>
      <c r="B532" s="309">
        <v>1</v>
      </c>
      <c r="C532" s="309">
        <v>1</v>
      </c>
      <c r="D532" s="309">
        <v>1</v>
      </c>
      <c r="E532" s="324">
        <f t="shared" ref="E532:E542" si="65">B532+C532+D532</f>
        <v>3</v>
      </c>
      <c r="F532" s="603"/>
      <c r="G532" s="307"/>
      <c r="H532" s="307"/>
      <c r="I532" s="307"/>
      <c r="J532" s="307"/>
    </row>
    <row r="533" spans="1:43" s="56" customFormat="1" ht="15">
      <c r="A533" s="68" t="s">
        <v>602</v>
      </c>
      <c r="B533" s="309">
        <v>1</v>
      </c>
      <c r="C533" s="309">
        <v>1</v>
      </c>
      <c r="D533" s="309">
        <v>1</v>
      </c>
      <c r="E533" s="324">
        <f t="shared" si="65"/>
        <v>3</v>
      </c>
      <c r="F533" s="603"/>
      <c r="G533" s="307"/>
      <c r="H533" s="307"/>
      <c r="I533" s="307"/>
      <c r="J533" s="307"/>
      <c r="K533" s="127"/>
      <c r="L533" s="127"/>
      <c r="M533" s="127"/>
      <c r="N533" s="127"/>
      <c r="O533" s="127"/>
      <c r="P533" s="127"/>
      <c r="Q533" s="127"/>
      <c r="R533" s="127"/>
      <c r="S533" s="127"/>
      <c r="T533" s="127"/>
      <c r="U533" s="127"/>
      <c r="V533" s="127"/>
      <c r="W533" s="127"/>
      <c r="X533" s="127"/>
      <c r="Y533" s="127"/>
      <c r="Z533" s="127"/>
      <c r="AA533" s="127"/>
      <c r="AB533" s="127"/>
      <c r="AC533" s="127"/>
      <c r="AD533" s="127"/>
      <c r="AE533" s="127"/>
      <c r="AF533" s="127"/>
      <c r="AG533" s="276"/>
      <c r="AH533" s="127"/>
      <c r="AI533" s="127"/>
      <c r="AJ533" s="127"/>
      <c r="AK533" s="127"/>
      <c r="AL533" s="127"/>
      <c r="AM533" s="127"/>
      <c r="AN533" s="127"/>
      <c r="AO533" s="127"/>
      <c r="AP533" s="127"/>
      <c r="AQ533" s="276"/>
    </row>
    <row r="534" spans="1:43">
      <c r="A534" s="68" t="s">
        <v>603</v>
      </c>
      <c r="B534" s="309">
        <v>1</v>
      </c>
      <c r="C534" s="309">
        <v>1</v>
      </c>
      <c r="D534" s="309">
        <v>1</v>
      </c>
      <c r="E534" s="324">
        <f t="shared" si="65"/>
        <v>3</v>
      </c>
      <c r="F534" s="603"/>
      <c r="G534" s="307"/>
      <c r="H534" s="307"/>
      <c r="I534" s="307"/>
      <c r="J534" s="307"/>
    </row>
    <row r="535" spans="1:43">
      <c r="A535" s="68" t="s">
        <v>604</v>
      </c>
      <c r="B535" s="309">
        <v>1</v>
      </c>
      <c r="C535" s="309">
        <v>1</v>
      </c>
      <c r="D535" s="309">
        <v>1</v>
      </c>
      <c r="E535" s="324">
        <f t="shared" si="65"/>
        <v>3</v>
      </c>
      <c r="F535" s="603"/>
      <c r="G535" s="307"/>
      <c r="H535" s="307"/>
      <c r="I535" s="307"/>
      <c r="J535" s="307"/>
    </row>
    <row r="536" spans="1:43">
      <c r="A536" s="68" t="s">
        <v>606</v>
      </c>
      <c r="B536" s="309">
        <v>3</v>
      </c>
      <c r="C536" s="309">
        <v>3</v>
      </c>
      <c r="D536" s="309">
        <v>3</v>
      </c>
      <c r="E536" s="324">
        <f t="shared" si="65"/>
        <v>9</v>
      </c>
      <c r="F536" s="603"/>
      <c r="G536" s="307"/>
      <c r="H536" s="307"/>
      <c r="I536" s="307"/>
      <c r="J536" s="307"/>
    </row>
    <row r="537" spans="1:43">
      <c r="A537" s="68" t="s">
        <v>607</v>
      </c>
      <c r="B537" s="309">
        <v>1</v>
      </c>
      <c r="C537" s="309">
        <v>1</v>
      </c>
      <c r="D537" s="309">
        <v>1</v>
      </c>
      <c r="E537" s="324">
        <f t="shared" si="65"/>
        <v>3</v>
      </c>
      <c r="F537" s="603"/>
      <c r="G537" s="307"/>
      <c r="H537" s="307"/>
      <c r="I537" s="307"/>
      <c r="J537" s="307"/>
    </row>
    <row r="538" spans="1:43">
      <c r="A538" s="68" t="s">
        <v>608</v>
      </c>
      <c r="B538" s="309">
        <v>1</v>
      </c>
      <c r="C538" s="309">
        <v>1</v>
      </c>
      <c r="D538" s="309">
        <v>1</v>
      </c>
      <c r="E538" s="324">
        <f t="shared" si="65"/>
        <v>3</v>
      </c>
      <c r="F538" s="603"/>
      <c r="G538" s="307"/>
      <c r="H538" s="307"/>
      <c r="I538" s="307"/>
      <c r="J538" s="307"/>
    </row>
    <row r="539" spans="1:43">
      <c r="A539" s="68" t="s">
        <v>609</v>
      </c>
      <c r="B539" s="309">
        <v>1</v>
      </c>
      <c r="C539" s="309">
        <v>1</v>
      </c>
      <c r="D539" s="309">
        <v>1</v>
      </c>
      <c r="E539" s="324">
        <f t="shared" si="65"/>
        <v>3</v>
      </c>
      <c r="F539" s="603"/>
      <c r="G539" s="307"/>
      <c r="H539" s="307"/>
      <c r="I539" s="307"/>
      <c r="J539" s="307"/>
    </row>
    <row r="540" spans="1:43">
      <c r="A540" s="68" t="s">
        <v>610</v>
      </c>
      <c r="B540" s="309">
        <v>1</v>
      </c>
      <c r="C540" s="309">
        <v>1</v>
      </c>
      <c r="D540" s="309">
        <v>1</v>
      </c>
      <c r="E540" s="324">
        <f t="shared" si="65"/>
        <v>3</v>
      </c>
      <c r="F540" s="603"/>
      <c r="G540" s="307"/>
      <c r="H540" s="307"/>
      <c r="I540" s="307"/>
      <c r="J540" s="307"/>
    </row>
    <row r="541" spans="1:43">
      <c r="A541" s="68" t="s">
        <v>611</v>
      </c>
      <c r="B541" s="309">
        <v>1</v>
      </c>
      <c r="C541" s="309">
        <v>1</v>
      </c>
      <c r="D541" s="309">
        <v>1</v>
      </c>
      <c r="E541" s="324">
        <f t="shared" si="65"/>
        <v>3</v>
      </c>
      <c r="F541" s="603"/>
      <c r="G541" s="307"/>
      <c r="H541" s="307"/>
      <c r="I541" s="307"/>
      <c r="J541" s="307"/>
    </row>
    <row r="542" spans="1:43">
      <c r="A542" s="68" t="s">
        <v>627</v>
      </c>
      <c r="B542" s="309">
        <v>1</v>
      </c>
      <c r="C542" s="309">
        <v>1</v>
      </c>
      <c r="D542" s="309">
        <v>1</v>
      </c>
      <c r="E542" s="324">
        <f t="shared" si="65"/>
        <v>3</v>
      </c>
      <c r="F542" s="603"/>
      <c r="G542" s="307"/>
      <c r="H542" s="307"/>
      <c r="I542" s="307"/>
      <c r="J542" s="307"/>
    </row>
    <row r="543" spans="1:43" ht="13.5" thickBot="1">
      <c r="A543" s="71"/>
      <c r="B543" s="89"/>
      <c r="C543" s="80"/>
      <c r="D543" s="80"/>
      <c r="E543" s="80"/>
      <c r="F543" s="74"/>
      <c r="G543" s="75"/>
      <c r="H543" s="75"/>
      <c r="I543" s="75"/>
      <c r="J543" s="75"/>
    </row>
    <row r="546" spans="1:43" s="56" customFormat="1" ht="15.75" thickBot="1">
      <c r="A546" s="59" t="s">
        <v>612</v>
      </c>
      <c r="B546" s="8"/>
      <c r="C546" s="8"/>
      <c r="D546" s="8"/>
      <c r="E546" s="8"/>
      <c r="F546" s="8"/>
      <c r="G546" s="8"/>
      <c r="H546" s="8"/>
      <c r="I546" s="8"/>
      <c r="J546" s="127"/>
      <c r="K546" s="127"/>
      <c r="L546" s="127"/>
      <c r="M546" s="127"/>
      <c r="N546" s="127"/>
      <c r="O546" s="127"/>
      <c r="P546" s="127"/>
      <c r="Q546" s="127"/>
      <c r="R546" s="127"/>
      <c r="S546" s="127"/>
      <c r="T546" s="127"/>
      <c r="U546" s="127"/>
      <c r="V546" s="127"/>
      <c r="W546" s="127"/>
      <c r="X546" s="127"/>
      <c r="Y546" s="127"/>
      <c r="Z546" s="127"/>
      <c r="AA546" s="127"/>
      <c r="AB546" s="127"/>
      <c r="AC546" s="127"/>
      <c r="AD546" s="127"/>
      <c r="AE546" s="127"/>
      <c r="AF546" s="276"/>
      <c r="AG546" s="127"/>
      <c r="AH546" s="127"/>
      <c r="AI546" s="127"/>
      <c r="AJ546" s="127"/>
      <c r="AK546" s="127"/>
      <c r="AL546" s="127"/>
      <c r="AM546" s="127"/>
      <c r="AN546" s="127"/>
      <c r="AO546" s="127"/>
      <c r="AP546" s="127"/>
      <c r="AQ546" s="276"/>
    </row>
    <row r="547" spans="1:43" s="56" customFormat="1" ht="15.75" thickBot="1">
      <c r="A547" s="769" t="s">
        <v>613</v>
      </c>
      <c r="B547" s="767">
        <f>K550</f>
        <v>14.733000000000001</v>
      </c>
      <c r="C547" s="282" t="s">
        <v>614</v>
      </c>
      <c r="D547" s="275"/>
      <c r="E547" s="127"/>
      <c r="F547" s="127"/>
      <c r="G547" s="276"/>
      <c r="H547" s="127"/>
      <c r="I547" s="127"/>
      <c r="J547" s="281"/>
      <c r="K547" s="281"/>
      <c r="L547" s="281"/>
      <c r="M547" s="281"/>
      <c r="N547" s="281"/>
      <c r="O547" s="281"/>
      <c r="P547" s="281"/>
      <c r="Q547" s="281"/>
      <c r="R547" s="281"/>
      <c r="S547" s="281"/>
      <c r="T547" s="281"/>
      <c r="U547" s="281"/>
      <c r="V547" s="281"/>
      <c r="W547" s="281"/>
      <c r="X547" s="281"/>
      <c r="Y547" s="281"/>
      <c r="Z547" s="281"/>
      <c r="AA547" s="281"/>
      <c r="AB547" s="281"/>
      <c r="AC547" s="281"/>
      <c r="AD547" s="281"/>
      <c r="AE547" s="281"/>
      <c r="AF547" s="276"/>
      <c r="AG547" s="127"/>
      <c r="AH547" s="127"/>
      <c r="AI547" s="127"/>
      <c r="AJ547" s="127"/>
      <c r="AK547" s="127"/>
      <c r="AL547" s="127"/>
      <c r="AM547" s="127"/>
      <c r="AN547" s="127"/>
      <c r="AO547" s="127"/>
      <c r="AP547" s="127"/>
      <c r="AQ547" s="276"/>
    </row>
    <row r="548" spans="1:43" s="56" customFormat="1" ht="15">
      <c r="A548" s="8"/>
      <c r="B548" s="8"/>
      <c r="C548" s="8"/>
      <c r="D548" s="8"/>
      <c r="E548" s="8"/>
      <c r="F548" s="8"/>
      <c r="G548" s="8"/>
      <c r="H548" s="8"/>
      <c r="I548" s="8"/>
      <c r="J548" s="127"/>
      <c r="K548" s="127"/>
      <c r="L548" s="127"/>
      <c r="M548" s="127"/>
      <c r="N548" s="127"/>
      <c r="O548" s="127"/>
      <c r="P548" s="127"/>
      <c r="Q548" s="127"/>
      <c r="R548" s="127"/>
      <c r="S548" s="127"/>
      <c r="T548" s="127"/>
      <c r="U548" s="127"/>
      <c r="V548" s="127"/>
      <c r="W548" s="127"/>
      <c r="X548" s="127"/>
      <c r="Y548" s="127"/>
      <c r="Z548" s="127"/>
      <c r="AA548" s="127"/>
      <c r="AB548" s="127"/>
      <c r="AC548" s="127"/>
      <c r="AD548" s="127"/>
      <c r="AE548" s="127"/>
      <c r="AF548" s="276"/>
      <c r="AG548" s="127"/>
      <c r="AH548" s="127"/>
      <c r="AI548" s="127"/>
      <c r="AJ548" s="127"/>
      <c r="AK548" s="127"/>
      <c r="AL548" s="127"/>
      <c r="AM548" s="127"/>
      <c r="AN548" s="127"/>
      <c r="AO548" s="127"/>
      <c r="AP548" s="127"/>
      <c r="AQ548" s="276"/>
    </row>
    <row r="549" spans="1:43" ht="15.75" thickBot="1">
      <c r="A549" s="59" t="s">
        <v>615</v>
      </c>
    </row>
    <row r="550" spans="1:43" ht="15.75" thickBot="1">
      <c r="A550" s="764" t="str">
        <f>A547</f>
        <v>Hand Rail</v>
      </c>
      <c r="B550" s="765">
        <v>4.9000000000000004</v>
      </c>
      <c r="C550" s="765">
        <v>5.62</v>
      </c>
      <c r="D550" s="765">
        <f>3.283+0.93</f>
        <v>4.2130000000000001</v>
      </c>
      <c r="E550" s="765">
        <v>0</v>
      </c>
      <c r="F550" s="765">
        <v>0</v>
      </c>
      <c r="G550" s="91">
        <v>0</v>
      </c>
      <c r="H550" s="765">
        <v>0</v>
      </c>
      <c r="I550" s="765">
        <v>0</v>
      </c>
      <c r="J550" s="765">
        <v>0</v>
      </c>
      <c r="K550" s="282">
        <f>SUM(B550:J550)</f>
        <v>14.733000000000001</v>
      </c>
      <c r="L550" s="306"/>
      <c r="Y550" s="102"/>
    </row>
    <row r="551" spans="1:43" ht="13.5" thickBot="1"/>
    <row r="552" spans="1:43" s="579" customFormat="1" ht="15.75" thickBot="1">
      <c r="A552" s="578" t="s">
        <v>469</v>
      </c>
    </row>
    <row r="554" spans="1:43" ht="15.75" thickBot="1">
      <c r="A554" s="59" t="s">
        <v>526</v>
      </c>
    </row>
    <row r="555" spans="1:43" s="56" customFormat="1" ht="15.75" thickBot="1">
      <c r="A555" s="286" t="s">
        <v>527</v>
      </c>
      <c r="B555" s="287">
        <f>D563-G581</f>
        <v>201.44146000000001</v>
      </c>
      <c r="C555" s="282" t="s">
        <v>84</v>
      </c>
      <c r="D555" s="275"/>
      <c r="E555" s="127"/>
      <c r="F555" s="580"/>
      <c r="G555" s="276"/>
      <c r="H555" s="127"/>
      <c r="I555" s="127"/>
      <c r="J555" s="127"/>
      <c r="K555" s="127"/>
      <c r="L555" s="127"/>
      <c r="M555" s="127"/>
      <c r="N555" s="127"/>
      <c r="O555" s="127"/>
      <c r="P555" s="127"/>
      <c r="Q555" s="127"/>
      <c r="R555" s="127"/>
      <c r="S555" s="127"/>
      <c r="T555" s="127"/>
      <c r="U555" s="127"/>
      <c r="V555" s="127"/>
      <c r="W555" s="127"/>
      <c r="X555" s="127"/>
      <c r="Y555" s="127"/>
      <c r="Z555" s="127"/>
      <c r="AA555" s="127"/>
      <c r="AB555" s="127"/>
      <c r="AC555" s="127"/>
      <c r="AD555" s="127"/>
      <c r="AE555" s="127"/>
      <c r="AF555" s="127"/>
      <c r="AG555" s="276"/>
      <c r="AH555" s="127"/>
      <c r="AI555" s="127"/>
      <c r="AJ555" s="127"/>
      <c r="AK555" s="127"/>
      <c r="AL555" s="127"/>
      <c r="AM555" s="127"/>
      <c r="AN555" s="127"/>
      <c r="AO555" s="127"/>
      <c r="AP555" s="127"/>
      <c r="AQ555" s="276"/>
    </row>
    <row r="556" spans="1:43" ht="13.5" thickBot="1"/>
    <row r="557" spans="1:43" ht="13.5" thickBot="1">
      <c r="A557" s="283" t="s">
        <v>382</v>
      </c>
      <c r="B557" s="284" t="s">
        <v>383</v>
      </c>
      <c r="C557" s="284" t="s">
        <v>385</v>
      </c>
      <c r="D557" s="285" t="s">
        <v>408</v>
      </c>
    </row>
    <row r="558" spans="1:43">
      <c r="A558" s="61"/>
      <c r="B558" s="82"/>
      <c r="C558" s="82"/>
      <c r="D558" s="82"/>
    </row>
    <row r="559" spans="1:43" ht="15">
      <c r="A559" s="67" t="s">
        <v>528</v>
      </c>
      <c r="B559" s="78">
        <f>P566</f>
        <v>29.998000000000001</v>
      </c>
      <c r="C559" s="78">
        <f>3-0.43+1</f>
        <v>3.57</v>
      </c>
      <c r="D559" s="79">
        <f>C559*B559</f>
        <v>107.09286</v>
      </c>
      <c r="E559" s="75"/>
      <c r="F559" s="75"/>
      <c r="G559" s="75"/>
    </row>
    <row r="560" spans="1:43" ht="15">
      <c r="A560" s="67" t="s">
        <v>530</v>
      </c>
      <c r="B560" s="78">
        <f>P567</f>
        <v>25.355999999999995</v>
      </c>
      <c r="C560" s="78">
        <f>3-0.15+1</f>
        <v>3.85</v>
      </c>
      <c r="D560" s="79">
        <f>C560*B560</f>
        <v>97.620599999999982</v>
      </c>
      <c r="E560" s="75"/>
      <c r="F560" s="75"/>
      <c r="G560" s="75"/>
    </row>
    <row r="561" spans="1:43" ht="15">
      <c r="A561" s="67" t="s">
        <v>616</v>
      </c>
      <c r="B561" s="78">
        <f>P568</f>
        <v>3.7589999999999999</v>
      </c>
      <c r="C561" s="78">
        <v>2</v>
      </c>
      <c r="D561" s="79">
        <f>C561*B561</f>
        <v>7.5179999999999998</v>
      </c>
      <c r="E561" s="75"/>
      <c r="F561" s="75"/>
      <c r="G561" s="75"/>
    </row>
    <row r="562" spans="1:43" ht="15.75" thickBot="1">
      <c r="A562" s="67"/>
      <c r="B562" s="78"/>
      <c r="C562" s="78"/>
      <c r="D562" s="79"/>
    </row>
    <row r="563" spans="1:43" ht="15.75" thickBot="1">
      <c r="A563" s="958" t="s">
        <v>393</v>
      </c>
      <c r="B563" s="959"/>
      <c r="C563" s="960"/>
      <c r="D563" s="77">
        <f>SUM(D558:D562)</f>
        <v>212.23146</v>
      </c>
    </row>
    <row r="565" spans="1:43" ht="15.75" thickBot="1">
      <c r="A565" s="59" t="s">
        <v>531</v>
      </c>
    </row>
    <row r="566" spans="1:43" s="56" customFormat="1" ht="17.25" customHeight="1" thickBot="1">
      <c r="A566" s="764" t="str">
        <f>A559</f>
        <v>150mm outer wall (Beam Line)</v>
      </c>
      <c r="B566" s="765">
        <v>5.0149999999999997</v>
      </c>
      <c r="C566" s="765">
        <v>5.3920000000000003</v>
      </c>
      <c r="D566" s="765">
        <v>5.55</v>
      </c>
      <c r="E566" s="765">
        <v>5.8380000000000001</v>
      </c>
      <c r="F566" s="765">
        <v>0.92800000000000005</v>
      </c>
      <c r="G566" s="765">
        <v>1.7</v>
      </c>
      <c r="H566" s="765">
        <v>1.8979999999999999</v>
      </c>
      <c r="I566" s="765">
        <v>2.6269999999999998</v>
      </c>
      <c r="J566" s="765">
        <v>1.05</v>
      </c>
      <c r="K566" s="765">
        <v>0</v>
      </c>
      <c r="L566" s="765">
        <v>0</v>
      </c>
      <c r="M566" s="765">
        <v>0</v>
      </c>
      <c r="N566" s="765">
        <v>0</v>
      </c>
      <c r="O566" s="765">
        <v>0</v>
      </c>
      <c r="P566" s="282">
        <f>SUM(B566:O566)</f>
        <v>29.998000000000001</v>
      </c>
      <c r="Q566" s="127"/>
      <c r="R566" s="127"/>
      <c r="S566" s="127"/>
      <c r="T566" s="127"/>
      <c r="U566" s="127"/>
      <c r="V566" s="127"/>
      <c r="W566" s="127"/>
      <c r="X566" s="127"/>
      <c r="Y566" s="127"/>
      <c r="Z566" s="127"/>
      <c r="AA566" s="127"/>
      <c r="AB566" s="276"/>
      <c r="AC566" s="127"/>
      <c r="AD566" s="127"/>
      <c r="AE566" s="127"/>
      <c r="AF566" s="127"/>
      <c r="AG566" s="276"/>
      <c r="AH566" s="127"/>
      <c r="AI566" s="127"/>
      <c r="AJ566" s="127"/>
      <c r="AK566" s="127"/>
      <c r="AL566" s="127"/>
      <c r="AM566" s="127"/>
      <c r="AN566" s="127"/>
      <c r="AO566" s="127"/>
      <c r="AP566" s="127"/>
      <c r="AQ566" s="276"/>
    </row>
    <row r="567" spans="1:43" s="56" customFormat="1" ht="17.25" customHeight="1" thickBot="1">
      <c r="A567" s="764" t="str">
        <f>A560</f>
        <v>150mm outer wall (Slab Line)</v>
      </c>
      <c r="B567" s="765">
        <v>5.89</v>
      </c>
      <c r="C567" s="765">
        <v>4.7699999999999996</v>
      </c>
      <c r="D567" s="765">
        <v>3.4510000000000001</v>
      </c>
      <c r="E567" s="770">
        <v>3.47</v>
      </c>
      <c r="F567" s="765">
        <v>1.65</v>
      </c>
      <c r="G567" s="765">
        <v>1.65</v>
      </c>
      <c r="H567" s="765">
        <v>3.2639999999999998</v>
      </c>
      <c r="I567" s="765">
        <v>1.2110000000000001</v>
      </c>
      <c r="J567" s="765">
        <v>0</v>
      </c>
      <c r="K567" s="765">
        <v>0</v>
      </c>
      <c r="L567" s="765">
        <v>0</v>
      </c>
      <c r="M567" s="765">
        <v>0</v>
      </c>
      <c r="N567" s="765">
        <v>0</v>
      </c>
      <c r="O567" s="765">
        <v>0</v>
      </c>
      <c r="P567" s="282">
        <f>SUM(B567:O567)</f>
        <v>25.355999999999995</v>
      </c>
      <c r="Q567" s="127"/>
      <c r="R567" s="127"/>
      <c r="S567" s="127"/>
      <c r="T567" s="127"/>
      <c r="U567" s="127"/>
      <c r="V567" s="127"/>
      <c r="W567" s="127"/>
      <c r="X567" s="127"/>
      <c r="Y567" s="127"/>
      <c r="Z567" s="127"/>
      <c r="AA567" s="127"/>
      <c r="AB567" s="276"/>
      <c r="AC567" s="127"/>
      <c r="AD567" s="127"/>
      <c r="AE567" s="127"/>
      <c r="AF567" s="127"/>
      <c r="AG567" s="276"/>
      <c r="AH567" s="127"/>
      <c r="AI567" s="127"/>
      <c r="AJ567" s="127"/>
      <c r="AK567" s="127"/>
      <c r="AL567" s="127"/>
      <c r="AM567" s="127"/>
      <c r="AN567" s="127"/>
      <c r="AO567" s="127"/>
      <c r="AP567" s="127"/>
      <c r="AQ567" s="276"/>
    </row>
    <row r="568" spans="1:43" s="56" customFormat="1" ht="17.25" customHeight="1" thickBot="1">
      <c r="A568" s="764" t="str">
        <f>A561</f>
        <v>150mm - 2M wall</v>
      </c>
      <c r="B568" s="765">
        <v>3.7589999999999999</v>
      </c>
      <c r="C568" s="765">
        <v>0</v>
      </c>
      <c r="D568" s="765">
        <v>0</v>
      </c>
      <c r="E568" s="765">
        <v>0</v>
      </c>
      <c r="F568" s="765">
        <v>0</v>
      </c>
      <c r="G568" s="765">
        <v>0</v>
      </c>
      <c r="H568" s="765">
        <v>0</v>
      </c>
      <c r="I568" s="765">
        <v>0</v>
      </c>
      <c r="J568" s="765">
        <v>0</v>
      </c>
      <c r="K568" s="765">
        <v>0</v>
      </c>
      <c r="L568" s="765">
        <v>0</v>
      </c>
      <c r="M568" s="765">
        <v>0</v>
      </c>
      <c r="N568" s="765">
        <v>0</v>
      </c>
      <c r="O568" s="765">
        <v>0</v>
      </c>
      <c r="P568" s="282">
        <f>SUM(B568:O568)</f>
        <v>3.7589999999999999</v>
      </c>
      <c r="Q568" s="127"/>
      <c r="R568" s="127"/>
      <c r="S568" s="127"/>
      <c r="T568" s="127"/>
      <c r="U568" s="127"/>
      <c r="V568" s="127"/>
      <c r="W568" s="127"/>
      <c r="X568" s="127"/>
      <c r="Y568" s="127"/>
      <c r="Z568" s="127"/>
      <c r="AA568" s="127"/>
      <c r="AB568" s="276"/>
      <c r="AC568" s="127"/>
      <c r="AD568" s="127"/>
      <c r="AE568" s="127"/>
      <c r="AF568" s="127"/>
      <c r="AG568" s="276"/>
      <c r="AH568" s="127"/>
      <c r="AI568" s="127"/>
      <c r="AJ568" s="127"/>
      <c r="AK568" s="127"/>
      <c r="AL568" s="127"/>
      <c r="AM568" s="127"/>
      <c r="AN568" s="127"/>
      <c r="AO568" s="127"/>
      <c r="AP568" s="127"/>
      <c r="AQ568" s="276"/>
    </row>
    <row r="570" spans="1:43" ht="15.75" thickBot="1">
      <c r="A570" s="59" t="s">
        <v>447</v>
      </c>
    </row>
    <row r="571" spans="1:43" s="56" customFormat="1" ht="15.75" customHeight="1" thickBot="1">
      <c r="A571" s="310" t="s">
        <v>382</v>
      </c>
      <c r="B571" s="311" t="s">
        <v>82</v>
      </c>
      <c r="C571" s="311" t="s">
        <v>291</v>
      </c>
      <c r="D571" s="311" t="s">
        <v>384</v>
      </c>
      <c r="E571" s="311" t="s">
        <v>385</v>
      </c>
      <c r="F571" s="313" t="s">
        <v>409</v>
      </c>
      <c r="G571" s="314" t="s">
        <v>532</v>
      </c>
      <c r="H571" s="961" t="s">
        <v>533</v>
      </c>
      <c r="I571" s="962"/>
      <c r="J571" s="962"/>
      <c r="K571" s="962"/>
      <c r="L571" s="962"/>
      <c r="M571" s="962"/>
      <c r="N571" s="962"/>
      <c r="O571" s="963"/>
      <c r="P571" s="315" t="s">
        <v>532</v>
      </c>
    </row>
    <row r="572" spans="1:43">
      <c r="A572" s="61"/>
      <c r="B572" s="61"/>
      <c r="C572" s="61"/>
      <c r="D572" s="61"/>
      <c r="E572" s="61"/>
      <c r="F572" s="61"/>
      <c r="G572" s="61"/>
      <c r="N572" s="69"/>
      <c r="O572" s="70"/>
      <c r="P572" s="61"/>
    </row>
    <row r="573" spans="1:43" ht="15">
      <c r="A573" s="62" t="s">
        <v>534</v>
      </c>
      <c r="B573" s="309" t="s">
        <v>629</v>
      </c>
      <c r="C573" s="73">
        <f>P573</f>
        <v>1</v>
      </c>
      <c r="D573" s="73">
        <v>1.5</v>
      </c>
      <c r="E573" s="73">
        <v>1.6</v>
      </c>
      <c r="F573" s="79">
        <f>E573*D573</f>
        <v>2.4000000000000004</v>
      </c>
      <c r="G573" s="79">
        <f>F573*C573</f>
        <v>2.4000000000000004</v>
      </c>
      <c r="H573" s="102">
        <v>1</v>
      </c>
      <c r="I573" s="102">
        <v>0</v>
      </c>
      <c r="J573" s="102">
        <v>0</v>
      </c>
      <c r="K573" s="75">
        <v>0</v>
      </c>
      <c r="L573" s="75">
        <v>0</v>
      </c>
      <c r="M573" s="75">
        <v>0</v>
      </c>
      <c r="N573" s="75">
        <v>0</v>
      </c>
      <c r="O573" s="766">
        <v>0</v>
      </c>
      <c r="P573" s="79">
        <f>SUM(H573:O573)</f>
        <v>1</v>
      </c>
    </row>
    <row r="574" spans="1:43" ht="15">
      <c r="A574" s="62"/>
      <c r="B574" s="309" t="s">
        <v>630</v>
      </c>
      <c r="C574" s="73">
        <f>P574</f>
        <v>1</v>
      </c>
      <c r="D574" s="73">
        <v>2.15</v>
      </c>
      <c r="E574" s="73">
        <v>1.6</v>
      </c>
      <c r="F574" s="79">
        <f>E574*D574</f>
        <v>3.44</v>
      </c>
      <c r="G574" s="79">
        <f>F574*C574</f>
        <v>3.44</v>
      </c>
      <c r="H574" s="102">
        <v>1</v>
      </c>
      <c r="I574" s="102">
        <v>0</v>
      </c>
      <c r="J574" s="102">
        <v>0</v>
      </c>
      <c r="K574" s="75">
        <v>0</v>
      </c>
      <c r="L574" s="75">
        <v>0</v>
      </c>
      <c r="M574" s="75">
        <v>0</v>
      </c>
      <c r="N574" s="75">
        <v>0</v>
      </c>
      <c r="O574" s="766">
        <v>0</v>
      </c>
      <c r="P574" s="79">
        <f>SUM(H574:O574)</f>
        <v>1</v>
      </c>
    </row>
    <row r="575" spans="1:43" ht="15">
      <c r="A575" s="62"/>
      <c r="B575" s="309" t="s">
        <v>620</v>
      </c>
      <c r="C575" s="73">
        <f>P575</f>
        <v>1</v>
      </c>
      <c r="D575" s="73">
        <v>1.1000000000000001</v>
      </c>
      <c r="E575" s="73">
        <v>2.25</v>
      </c>
      <c r="F575" s="79">
        <f>E575*D575</f>
        <v>2.4750000000000001</v>
      </c>
      <c r="G575" s="79">
        <f>F575*C575</f>
        <v>2.4750000000000001</v>
      </c>
      <c r="H575" s="102">
        <v>1</v>
      </c>
      <c r="I575" s="102">
        <v>0</v>
      </c>
      <c r="J575" s="102">
        <v>0</v>
      </c>
      <c r="K575" s="75">
        <v>0</v>
      </c>
      <c r="L575" s="75">
        <v>0</v>
      </c>
      <c r="M575" s="75">
        <v>0</v>
      </c>
      <c r="N575" s="75">
        <v>0</v>
      </c>
      <c r="O575" s="766">
        <v>0</v>
      </c>
      <c r="P575" s="79">
        <f>SUM(H575:O575)</f>
        <v>1</v>
      </c>
    </row>
    <row r="576" spans="1:43" ht="15">
      <c r="A576" s="63"/>
      <c r="B576" s="309"/>
      <c r="C576" s="73"/>
      <c r="D576" s="73"/>
      <c r="E576" s="73"/>
      <c r="F576" s="79"/>
      <c r="G576" s="79"/>
      <c r="H576" s="102"/>
      <c r="I576" s="102"/>
      <c r="J576" s="102"/>
      <c r="O576" s="217"/>
      <c r="P576" s="79"/>
    </row>
    <row r="577" spans="1:43" ht="15">
      <c r="A577" s="62" t="s">
        <v>538</v>
      </c>
      <c r="B577" s="309" t="s">
        <v>620</v>
      </c>
      <c r="C577" s="73">
        <f>P577</f>
        <v>1</v>
      </c>
      <c r="D577" s="73">
        <v>1.1000000000000001</v>
      </c>
      <c r="E577" s="73">
        <v>2.25</v>
      </c>
      <c r="F577" s="79">
        <f t="shared" ref="F577:F579" si="66">E577*D577</f>
        <v>2.4750000000000001</v>
      </c>
      <c r="G577" s="79">
        <f t="shared" ref="G577:G579" si="67">F577*C577</f>
        <v>2.4750000000000001</v>
      </c>
      <c r="H577" s="102">
        <v>1</v>
      </c>
      <c r="I577" s="75">
        <v>0</v>
      </c>
      <c r="J577" s="75">
        <v>0</v>
      </c>
      <c r="K577" s="75">
        <v>0</v>
      </c>
      <c r="L577" s="75">
        <v>0</v>
      </c>
      <c r="M577" s="75">
        <v>0</v>
      </c>
      <c r="N577" s="75">
        <v>0</v>
      </c>
      <c r="O577" s="766">
        <v>0</v>
      </c>
      <c r="P577" s="79">
        <f t="shared" ref="P577:P579" si="68">SUM(H577:O577)</f>
        <v>1</v>
      </c>
    </row>
    <row r="578" spans="1:43" ht="15">
      <c r="A578" s="598"/>
      <c r="B578" s="309" t="s">
        <v>631</v>
      </c>
      <c r="C578" s="73">
        <f>P578</f>
        <v>1</v>
      </c>
      <c r="D578" s="73">
        <v>1.05</v>
      </c>
      <c r="E578" s="73">
        <v>2.25</v>
      </c>
      <c r="F578" s="79">
        <f t="shared" si="66"/>
        <v>2.3625000000000003</v>
      </c>
      <c r="G578" s="79">
        <f t="shared" si="67"/>
        <v>2.3625000000000003</v>
      </c>
      <c r="H578" s="102">
        <v>1</v>
      </c>
      <c r="I578" s="75">
        <v>0</v>
      </c>
      <c r="J578" s="75">
        <v>0</v>
      </c>
      <c r="K578" s="75">
        <v>0</v>
      </c>
      <c r="L578" s="75">
        <v>0</v>
      </c>
      <c r="M578" s="75">
        <v>0</v>
      </c>
      <c r="N578" s="75">
        <v>0</v>
      </c>
      <c r="O578" s="766">
        <v>0</v>
      </c>
      <c r="P578" s="79">
        <f t="shared" si="68"/>
        <v>1</v>
      </c>
    </row>
    <row r="579" spans="1:43" ht="15">
      <c r="A579" s="598"/>
      <c r="B579" s="309" t="s">
        <v>539</v>
      </c>
      <c r="C579" s="73">
        <f>P579</f>
        <v>2</v>
      </c>
      <c r="D579" s="73">
        <v>0.95</v>
      </c>
      <c r="E579" s="73">
        <v>2.25</v>
      </c>
      <c r="F579" s="79">
        <f t="shared" si="66"/>
        <v>2.1374999999999997</v>
      </c>
      <c r="G579" s="79">
        <f t="shared" si="67"/>
        <v>4.2749999999999995</v>
      </c>
      <c r="H579" s="102">
        <v>1</v>
      </c>
      <c r="I579" s="75">
        <v>1</v>
      </c>
      <c r="J579" s="75">
        <v>0</v>
      </c>
      <c r="K579" s="75">
        <v>0</v>
      </c>
      <c r="L579" s="75">
        <v>0</v>
      </c>
      <c r="M579" s="75">
        <v>0</v>
      </c>
      <c r="N579" s="75">
        <v>0</v>
      </c>
      <c r="O579" s="766">
        <v>0</v>
      </c>
      <c r="P579" s="79">
        <f t="shared" si="68"/>
        <v>2</v>
      </c>
    </row>
    <row r="580" spans="1:43" ht="15.75" thickBot="1">
      <c r="B580" s="309"/>
      <c r="C580" s="73"/>
      <c r="D580" s="73"/>
      <c r="E580" s="73"/>
      <c r="F580" s="79"/>
      <c r="G580" s="79"/>
      <c r="N580" s="280"/>
      <c r="O580" s="316"/>
      <c r="P580" s="79"/>
    </row>
    <row r="581" spans="1:43" ht="15.75" thickBot="1">
      <c r="A581" s="65"/>
      <c r="B581" s="955" t="s">
        <v>545</v>
      </c>
      <c r="C581" s="956"/>
      <c r="D581" s="956"/>
      <c r="E581" s="956"/>
      <c r="F581" s="957"/>
      <c r="G581" s="77">
        <f>SUM(G572:G577)</f>
        <v>10.79</v>
      </c>
      <c r="H581" s="293"/>
      <c r="I581" s="208"/>
      <c r="J581" s="208"/>
      <c r="K581" s="312"/>
      <c r="L581" s="312"/>
      <c r="M581" s="312"/>
      <c r="N581" s="312"/>
      <c r="O581" s="317"/>
      <c r="P581" s="77"/>
    </row>
    <row r="582" spans="1:43" ht="15">
      <c r="H582" s="102"/>
      <c r="I582" s="102"/>
      <c r="J582" s="102"/>
    </row>
    <row r="583" spans="1:43" ht="15">
      <c r="H583" s="102"/>
      <c r="I583" s="102"/>
      <c r="J583" s="102"/>
    </row>
    <row r="584" spans="1:43" ht="15.75" thickBot="1">
      <c r="A584" s="59" t="s">
        <v>546</v>
      </c>
    </row>
    <row r="585" spans="1:43" s="56" customFormat="1" ht="15.75" thickBot="1">
      <c r="A585" s="286" t="s">
        <v>547</v>
      </c>
      <c r="B585" s="287">
        <f>D592-H605+J605</f>
        <v>138.995</v>
      </c>
      <c r="C585" s="282" t="s">
        <v>84</v>
      </c>
      <c r="D585" s="275"/>
      <c r="E585" s="127"/>
      <c r="F585" s="127"/>
      <c r="G585" s="276"/>
      <c r="H585" s="127"/>
      <c r="I585" s="127"/>
      <c r="J585" s="277"/>
    </row>
    <row r="586" spans="1:43" ht="13.5" thickBot="1"/>
    <row r="587" spans="1:43" ht="15.75" thickBot="1">
      <c r="A587" s="283" t="s">
        <v>382</v>
      </c>
      <c r="B587" s="284" t="s">
        <v>383</v>
      </c>
      <c r="C587" s="284" t="s">
        <v>385</v>
      </c>
      <c r="D587" s="285" t="s">
        <v>408</v>
      </c>
      <c r="J587" s="102"/>
    </row>
    <row r="588" spans="1:43" ht="15">
      <c r="A588" s="61"/>
      <c r="B588" s="82"/>
      <c r="C588" s="82"/>
      <c r="D588" s="82"/>
      <c r="J588" s="102"/>
    </row>
    <row r="589" spans="1:43" ht="15">
      <c r="A589" s="67" t="s">
        <v>548</v>
      </c>
      <c r="B589" s="78">
        <f>M595</f>
        <v>41.564999999999998</v>
      </c>
      <c r="C589" s="78">
        <v>3</v>
      </c>
      <c r="D589" s="79">
        <f>C589*B589</f>
        <v>124.69499999999999</v>
      </c>
      <c r="E589" s="75" t="s">
        <v>549</v>
      </c>
      <c r="J589" s="102"/>
    </row>
    <row r="590" spans="1:43" ht="15">
      <c r="A590" s="67" t="s">
        <v>621</v>
      </c>
      <c r="B590" s="78">
        <f>M596</f>
        <v>3.8</v>
      </c>
      <c r="C590" s="78">
        <v>4.1500000000000004</v>
      </c>
      <c r="D590" s="79">
        <f>C590*B590</f>
        <v>15.770000000000001</v>
      </c>
      <c r="J590" s="102"/>
    </row>
    <row r="591" spans="1:43" s="56" customFormat="1" ht="15.75" thickBot="1">
      <c r="A591" s="67"/>
      <c r="B591" s="78"/>
      <c r="C591" s="78"/>
      <c r="D591" s="79"/>
      <c r="E591" s="8"/>
      <c r="F591" s="8"/>
      <c r="G591" s="8"/>
      <c r="H591" s="8"/>
      <c r="I591" s="8"/>
      <c r="J591" s="127"/>
      <c r="K591" s="127"/>
      <c r="L591" s="127"/>
      <c r="M591" s="127"/>
      <c r="N591" s="127"/>
      <c r="O591" s="127"/>
      <c r="P591" s="127"/>
      <c r="Q591" s="127"/>
      <c r="R591" s="127"/>
      <c r="S591" s="127"/>
      <c r="T591" s="127"/>
      <c r="U591" s="127"/>
      <c r="V591" s="127"/>
      <c r="W591" s="127"/>
      <c r="X591" s="127"/>
      <c r="Y591" s="127"/>
      <c r="Z591" s="127"/>
      <c r="AA591" s="127"/>
      <c r="AB591" s="127"/>
      <c r="AC591" s="127"/>
      <c r="AD591" s="127"/>
      <c r="AE591" s="127"/>
      <c r="AF591" s="127"/>
      <c r="AG591" s="276"/>
      <c r="AH591" s="127"/>
      <c r="AI591" s="127"/>
      <c r="AJ591" s="127"/>
      <c r="AK591" s="127"/>
      <c r="AL591" s="127"/>
      <c r="AM591" s="127"/>
      <c r="AN591" s="127"/>
      <c r="AO591" s="127"/>
      <c r="AP591" s="127"/>
      <c r="AQ591" s="276"/>
    </row>
    <row r="592" spans="1:43" ht="15.75" thickBot="1">
      <c r="A592" s="958" t="s">
        <v>393</v>
      </c>
      <c r="B592" s="959"/>
      <c r="C592" s="960"/>
      <c r="D592" s="77">
        <f>SUM(D588:D591)</f>
        <v>140.465</v>
      </c>
    </row>
    <row r="594" spans="1:13" ht="15.75" thickBot="1">
      <c r="A594" s="59" t="s">
        <v>551</v>
      </c>
    </row>
    <row r="595" spans="1:13" ht="15.75" thickBot="1">
      <c r="A595" s="764" t="str">
        <f>A589</f>
        <v>Outer Wall - Full</v>
      </c>
      <c r="B595" s="765">
        <v>25</v>
      </c>
      <c r="C595" s="765">
        <v>16.565000000000001</v>
      </c>
      <c r="D595" s="765">
        <v>0</v>
      </c>
      <c r="E595" s="765">
        <v>0</v>
      </c>
      <c r="F595" s="765">
        <v>0</v>
      </c>
      <c r="G595" s="765">
        <v>0</v>
      </c>
      <c r="H595" s="765">
        <v>0</v>
      </c>
      <c r="I595" s="765">
        <v>0</v>
      </c>
      <c r="J595" s="765">
        <v>0</v>
      </c>
      <c r="K595" s="765">
        <v>0</v>
      </c>
      <c r="L595" s="765">
        <v>0</v>
      </c>
      <c r="M595" s="282">
        <f>SUM(B595:L595)</f>
        <v>41.564999999999998</v>
      </c>
    </row>
    <row r="596" spans="1:13" ht="15.75" thickBot="1">
      <c r="A596" s="764" t="str">
        <f>A590</f>
        <v xml:space="preserve">Outer wal - 2.0m </v>
      </c>
      <c r="B596" s="765">
        <v>3.8</v>
      </c>
      <c r="C596" s="765">
        <v>0</v>
      </c>
      <c r="D596" s="765">
        <v>0</v>
      </c>
      <c r="E596" s="765">
        <v>0</v>
      </c>
      <c r="F596" s="765">
        <v>0</v>
      </c>
      <c r="G596" s="765">
        <v>0</v>
      </c>
      <c r="H596" s="765">
        <v>0</v>
      </c>
      <c r="I596" s="765">
        <v>0</v>
      </c>
      <c r="J596" s="765">
        <v>0</v>
      </c>
      <c r="K596" s="765">
        <v>0</v>
      </c>
      <c r="L596" s="765">
        <v>0</v>
      </c>
      <c r="M596" s="282">
        <f>SUM(B596:L596)</f>
        <v>3.8</v>
      </c>
    </row>
    <row r="598" spans="1:13" ht="15.75" thickBot="1">
      <c r="A598" s="59" t="s">
        <v>552</v>
      </c>
    </row>
    <row r="599" spans="1:13" ht="15.75" customHeight="1" thickBot="1">
      <c r="A599" s="288" t="s">
        <v>382</v>
      </c>
      <c r="B599" s="289" t="s">
        <v>82</v>
      </c>
      <c r="C599" s="289" t="s">
        <v>291</v>
      </c>
      <c r="D599" s="289" t="s">
        <v>383</v>
      </c>
      <c r="E599" s="289" t="s">
        <v>384</v>
      </c>
      <c r="F599" s="289" t="s">
        <v>409</v>
      </c>
      <c r="G599" s="290" t="s">
        <v>532</v>
      </c>
      <c r="H599" s="291" t="s">
        <v>553</v>
      </c>
      <c r="I599" s="291" t="s">
        <v>554</v>
      </c>
      <c r="J599" s="292" t="s">
        <v>555</v>
      </c>
    </row>
    <row r="600" spans="1:13">
      <c r="A600" s="61"/>
      <c r="B600" s="61"/>
      <c r="C600" s="61"/>
      <c r="D600" s="61"/>
      <c r="E600" s="61"/>
      <c r="F600" s="294"/>
      <c r="G600" s="294"/>
      <c r="H600" s="61"/>
      <c r="I600" s="61"/>
      <c r="J600" s="61"/>
    </row>
    <row r="601" spans="1:13" ht="15">
      <c r="A601" s="62" t="s">
        <v>534</v>
      </c>
      <c r="B601" s="72" t="str">
        <f t="shared" ref="B601:E603" si="69">B573</f>
        <v>W06</v>
      </c>
      <c r="C601" s="72">
        <f t="shared" si="69"/>
        <v>1</v>
      </c>
      <c r="D601" s="72">
        <f t="shared" si="69"/>
        <v>1.5</v>
      </c>
      <c r="E601" s="72">
        <f t="shared" si="69"/>
        <v>1.6</v>
      </c>
      <c r="F601" s="93">
        <f>E601*D601</f>
        <v>2.4000000000000004</v>
      </c>
      <c r="G601" s="93">
        <f>F601*C601</f>
        <v>2.4000000000000004</v>
      </c>
      <c r="H601" s="78">
        <f>G601</f>
        <v>2.4000000000000004</v>
      </c>
      <c r="I601" s="78">
        <f>G601</f>
        <v>2.4000000000000004</v>
      </c>
      <c r="J601" s="78">
        <f>(D601+E601+D601+E601)*C601*0.15</f>
        <v>0.92999999999999983</v>
      </c>
    </row>
    <row r="602" spans="1:13" ht="15">
      <c r="A602" s="62"/>
      <c r="B602" s="72" t="str">
        <f t="shared" si="69"/>
        <v>W07</v>
      </c>
      <c r="C602" s="72">
        <f t="shared" si="69"/>
        <v>1</v>
      </c>
      <c r="D602" s="72">
        <f t="shared" si="69"/>
        <v>2.15</v>
      </c>
      <c r="E602" s="72">
        <f t="shared" si="69"/>
        <v>1.6</v>
      </c>
      <c r="F602" s="93">
        <f>E602*D602</f>
        <v>3.44</v>
      </c>
      <c r="G602" s="93">
        <f>F602*C602</f>
        <v>3.44</v>
      </c>
      <c r="H602" s="78">
        <f>G602</f>
        <v>3.44</v>
      </c>
      <c r="I602" s="78">
        <f>G602</f>
        <v>3.44</v>
      </c>
      <c r="J602" s="78">
        <f>(D602+E602+D602+E602)*C602*0.15</f>
        <v>1.125</v>
      </c>
    </row>
    <row r="603" spans="1:13" ht="15">
      <c r="A603" s="62"/>
      <c r="B603" s="72" t="str">
        <f t="shared" si="69"/>
        <v>D04</v>
      </c>
      <c r="C603" s="72">
        <f t="shared" si="69"/>
        <v>1</v>
      </c>
      <c r="D603" s="72">
        <f t="shared" si="69"/>
        <v>1.1000000000000001</v>
      </c>
      <c r="E603" s="72">
        <f t="shared" si="69"/>
        <v>2.25</v>
      </c>
      <c r="F603" s="93">
        <f>E603*D603</f>
        <v>2.4750000000000001</v>
      </c>
      <c r="G603" s="93">
        <f>F603*C603</f>
        <v>2.4750000000000001</v>
      </c>
      <c r="H603" s="78">
        <f>G603</f>
        <v>2.4750000000000001</v>
      </c>
      <c r="I603" s="78">
        <f>G603</f>
        <v>2.4750000000000001</v>
      </c>
      <c r="J603" s="78">
        <f>(D603+E603+D603+E603)*C603*0.15</f>
        <v>1.0049999999999999</v>
      </c>
    </row>
    <row r="604" spans="1:13" ht="15.75" thickBot="1">
      <c r="A604" s="62"/>
      <c r="B604" s="76"/>
      <c r="C604" s="76"/>
      <c r="D604" s="76"/>
      <c r="E604" s="76"/>
      <c r="F604" s="605"/>
      <c r="G604" s="605"/>
      <c r="H604" s="80"/>
      <c r="I604" s="80"/>
      <c r="J604" s="80"/>
    </row>
    <row r="605" spans="1:13" ht="15.75" thickBot="1">
      <c r="A605" s="65"/>
      <c r="B605" s="955" t="s">
        <v>545</v>
      </c>
      <c r="C605" s="956"/>
      <c r="D605" s="956"/>
      <c r="E605" s="956"/>
      <c r="F605" s="957"/>
      <c r="G605" s="293">
        <f>SUM(G600:G601)</f>
        <v>2.4000000000000004</v>
      </c>
      <c r="H605" s="293">
        <f>SUM(H600:H601)</f>
        <v>2.4000000000000004</v>
      </c>
      <c r="I605" s="293">
        <f>SUM(I600:I601)</f>
        <v>2.4000000000000004</v>
      </c>
      <c r="J605" s="77">
        <f>SUM(J600:J601)</f>
        <v>0.92999999999999983</v>
      </c>
      <c r="K605" s="75"/>
      <c r="L605" s="75"/>
    </row>
    <row r="606" spans="1:13" ht="15">
      <c r="A606" s="63"/>
      <c r="B606" s="72"/>
      <c r="C606" s="73"/>
      <c r="D606" s="73"/>
      <c r="E606" s="73"/>
      <c r="F606" s="93"/>
      <c r="G606" s="296"/>
      <c r="H606" s="78"/>
      <c r="I606" s="78"/>
      <c r="J606" s="78"/>
    </row>
    <row r="607" spans="1:13" s="56" customFormat="1" ht="15">
      <c r="A607" s="62" t="s">
        <v>538</v>
      </c>
      <c r="B607" s="72" t="str">
        <f t="shared" ref="B607:E609" si="70">B577</f>
        <v>D04</v>
      </c>
      <c r="C607" s="72">
        <f t="shared" si="70"/>
        <v>1</v>
      </c>
      <c r="D607" s="72">
        <f t="shared" si="70"/>
        <v>1.1000000000000001</v>
      </c>
      <c r="E607" s="72">
        <f t="shared" si="70"/>
        <v>2.25</v>
      </c>
      <c r="F607" s="93">
        <f t="shared" ref="F607:F609" si="71">E607*D607</f>
        <v>2.4750000000000001</v>
      </c>
      <c r="G607" s="93">
        <f t="shared" ref="G607:G609" si="72">F607*C607</f>
        <v>2.4750000000000001</v>
      </c>
      <c r="H607" s="78">
        <f>G607</f>
        <v>2.4750000000000001</v>
      </c>
      <c r="I607" s="78">
        <f>G607</f>
        <v>2.4750000000000001</v>
      </c>
      <c r="J607" s="78">
        <f>(D607+E607+D607+E607)*C607*0.15</f>
        <v>1.0049999999999999</v>
      </c>
      <c r="K607" s="277"/>
      <c r="L607" s="277"/>
    </row>
    <row r="608" spans="1:13" s="56" customFormat="1" ht="15">
      <c r="A608" s="62"/>
      <c r="B608" s="72" t="str">
        <f t="shared" si="70"/>
        <v>D05</v>
      </c>
      <c r="C608" s="72">
        <f t="shared" si="70"/>
        <v>1</v>
      </c>
      <c r="D608" s="72">
        <f t="shared" si="70"/>
        <v>1.05</v>
      </c>
      <c r="E608" s="72">
        <f t="shared" si="70"/>
        <v>2.25</v>
      </c>
      <c r="F608" s="93">
        <f t="shared" si="71"/>
        <v>2.3625000000000003</v>
      </c>
      <c r="G608" s="93">
        <f t="shared" si="72"/>
        <v>2.3625000000000003</v>
      </c>
      <c r="H608" s="78">
        <f t="shared" ref="H608:H609" si="73">G608</f>
        <v>2.3625000000000003</v>
      </c>
      <c r="I608" s="78">
        <f t="shared" ref="I608:I609" si="74">G608</f>
        <v>2.3625000000000003</v>
      </c>
      <c r="J608" s="78">
        <f t="shared" ref="J608:J609" si="75">(D608+E608+D608+E608)*C608*0.15</f>
        <v>0.98999999999999988</v>
      </c>
      <c r="K608" s="277"/>
      <c r="L608" s="277"/>
    </row>
    <row r="609" spans="1:43" s="56" customFormat="1" ht="15">
      <c r="A609" s="62"/>
      <c r="B609" s="72" t="str">
        <f t="shared" si="70"/>
        <v>D03</v>
      </c>
      <c r="C609" s="72">
        <f t="shared" si="70"/>
        <v>2</v>
      </c>
      <c r="D609" s="72">
        <f t="shared" si="70"/>
        <v>0.95</v>
      </c>
      <c r="E609" s="72">
        <f t="shared" si="70"/>
        <v>2.25</v>
      </c>
      <c r="F609" s="93">
        <f t="shared" si="71"/>
        <v>2.1374999999999997</v>
      </c>
      <c r="G609" s="93">
        <f t="shared" si="72"/>
        <v>4.2749999999999995</v>
      </c>
      <c r="H609" s="78">
        <f t="shared" si="73"/>
        <v>4.2749999999999995</v>
      </c>
      <c r="I609" s="78">
        <f t="shared" si="74"/>
        <v>4.2749999999999995</v>
      </c>
      <c r="J609" s="78">
        <f t="shared" si="75"/>
        <v>1.92</v>
      </c>
      <c r="K609" s="277"/>
      <c r="L609" s="277"/>
    </row>
    <row r="610" spans="1:43" ht="15.75" thickBot="1">
      <c r="A610" s="63"/>
      <c r="B610" s="72"/>
      <c r="C610" s="73"/>
      <c r="D610" s="73"/>
      <c r="E610" s="73"/>
      <c r="F610" s="93"/>
      <c r="G610" s="296"/>
      <c r="H610" s="78"/>
      <c r="I610" s="78"/>
      <c r="J610" s="78"/>
      <c r="K610" s="75"/>
      <c r="L610" s="75"/>
    </row>
    <row r="611" spans="1:43" ht="15.75" thickBot="1">
      <c r="A611" s="65"/>
      <c r="B611" s="955" t="s">
        <v>545</v>
      </c>
      <c r="C611" s="956"/>
      <c r="D611" s="956"/>
      <c r="E611" s="956"/>
      <c r="F611" s="957"/>
      <c r="G611" s="293">
        <f>SUM(G606:G610)</f>
        <v>9.1125000000000007</v>
      </c>
      <c r="H611" s="293">
        <f>SUM(H606:H610)</f>
        <v>9.1125000000000007</v>
      </c>
      <c r="I611" s="293">
        <f>SUM(I606:I610)</f>
        <v>9.1125000000000007</v>
      </c>
      <c r="J611" s="77">
        <f>SUM(J606:J610)</f>
        <v>3.9149999999999996</v>
      </c>
      <c r="K611" s="75"/>
      <c r="L611" s="75"/>
    </row>
    <row r="612" spans="1:43">
      <c r="J612" s="75"/>
      <c r="K612" s="75"/>
      <c r="L612" s="75"/>
    </row>
    <row r="613" spans="1:43" ht="15.75" thickBot="1">
      <c r="A613" s="59" t="s">
        <v>556</v>
      </c>
      <c r="J613" s="75"/>
      <c r="K613" s="75"/>
      <c r="L613" s="75"/>
    </row>
    <row r="614" spans="1:43" ht="15.75" thickBot="1">
      <c r="A614" s="286" t="s">
        <v>557</v>
      </c>
      <c r="B614" s="297">
        <f>D620-I605-H611-I611+J611</f>
        <v>417.92697000000004</v>
      </c>
      <c r="C614" s="282" t="s">
        <v>84</v>
      </c>
      <c r="D614" s="127"/>
      <c r="E614" s="127"/>
      <c r="F614" s="127"/>
      <c r="G614" s="276"/>
      <c r="H614" s="127"/>
      <c r="I614" s="127"/>
      <c r="J614" s="75"/>
      <c r="K614" s="75"/>
      <c r="L614" s="75"/>
    </row>
    <row r="615" spans="1:43" ht="13.5" thickBot="1">
      <c r="J615" s="75"/>
      <c r="K615" s="75"/>
      <c r="L615" s="75"/>
    </row>
    <row r="616" spans="1:43" ht="13.5" thickBot="1">
      <c r="A616" s="283" t="s">
        <v>382</v>
      </c>
      <c r="B616" s="284" t="s">
        <v>383</v>
      </c>
      <c r="C616" s="284" t="s">
        <v>385</v>
      </c>
      <c r="D616" s="285" t="s">
        <v>408</v>
      </c>
      <c r="J616" s="75"/>
      <c r="K616" s="75"/>
      <c r="L616" s="75"/>
    </row>
    <row r="617" spans="1:43">
      <c r="A617" s="61"/>
      <c r="B617" s="82"/>
      <c r="C617" s="82"/>
      <c r="D617" s="82"/>
      <c r="J617" s="75"/>
      <c r="K617" s="75"/>
    </row>
    <row r="618" spans="1:43" ht="15">
      <c r="A618" s="67" t="s">
        <v>558</v>
      </c>
      <c r="B618" s="78">
        <f>P623</f>
        <v>152.5042</v>
      </c>
      <c r="C618" s="78">
        <v>2.85</v>
      </c>
      <c r="D618" s="79">
        <f>C618*B618</f>
        <v>434.63697000000002</v>
      </c>
      <c r="J618" s="102"/>
    </row>
    <row r="619" spans="1:43" ht="13.5" thickBot="1">
      <c r="A619" s="65"/>
      <c r="B619" s="80"/>
      <c r="C619" s="80"/>
      <c r="D619" s="80"/>
    </row>
    <row r="620" spans="1:43" s="56" customFormat="1" ht="15.75" thickBot="1">
      <c r="A620" s="958" t="s">
        <v>393</v>
      </c>
      <c r="B620" s="959"/>
      <c r="C620" s="960"/>
      <c r="D620" s="77">
        <f>SUM(D616:D619)</f>
        <v>434.63697000000002</v>
      </c>
      <c r="E620" s="8"/>
      <c r="F620" s="8"/>
      <c r="G620" s="8"/>
      <c r="H620" s="8"/>
      <c r="I620" s="8"/>
      <c r="J620" s="127"/>
      <c r="K620" s="127"/>
      <c r="L620" s="127"/>
      <c r="M620" s="127"/>
      <c r="N620" s="127"/>
      <c r="O620" s="127"/>
      <c r="P620" s="127"/>
      <c r="Q620" s="127"/>
      <c r="R620" s="127"/>
      <c r="S620" s="127"/>
      <c r="T620" s="127"/>
      <c r="U620" s="127"/>
      <c r="V620" s="127"/>
      <c r="W620" s="127"/>
      <c r="X620" s="127"/>
      <c r="Y620" s="127"/>
      <c r="Z620" s="127"/>
      <c r="AA620" s="127"/>
      <c r="AB620" s="127"/>
      <c r="AC620" s="127"/>
      <c r="AD620" s="127"/>
      <c r="AE620" s="127"/>
      <c r="AF620" s="127"/>
      <c r="AG620" s="276"/>
      <c r="AH620" s="127"/>
      <c r="AI620" s="127"/>
      <c r="AJ620" s="127"/>
      <c r="AK620" s="127"/>
      <c r="AL620" s="127"/>
      <c r="AM620" s="127"/>
      <c r="AN620" s="127"/>
      <c r="AO620" s="127"/>
      <c r="AP620" s="127"/>
      <c r="AQ620" s="276"/>
    </row>
    <row r="622" spans="1:43" ht="15.75" thickBot="1">
      <c r="A622" s="59" t="s">
        <v>551</v>
      </c>
    </row>
    <row r="623" spans="1:43" ht="15.75" thickBot="1">
      <c r="A623" s="764" t="str">
        <f>A618</f>
        <v>Internal Wall</v>
      </c>
      <c r="B623" s="765">
        <v>12.564</v>
      </c>
      <c r="C623" s="765">
        <v>19.850000000000001</v>
      </c>
      <c r="D623" s="765">
        <v>12</v>
      </c>
      <c r="E623" s="765">
        <v>19.625</v>
      </c>
      <c r="F623" s="765">
        <v>32.785200000000003</v>
      </c>
      <c r="G623" s="765">
        <v>11.98</v>
      </c>
      <c r="H623" s="765">
        <v>17.149999999999999</v>
      </c>
      <c r="I623" s="765">
        <v>7.91</v>
      </c>
      <c r="J623" s="765">
        <v>8.2439999999999998</v>
      </c>
      <c r="K623" s="765">
        <v>2.9159999999999999</v>
      </c>
      <c r="L623" s="765">
        <v>5.48</v>
      </c>
      <c r="M623" s="765">
        <v>2</v>
      </c>
      <c r="N623" s="765">
        <v>0</v>
      </c>
      <c r="O623" s="765">
        <v>0</v>
      </c>
      <c r="P623" s="77">
        <f>SUM(B623:O623)</f>
        <v>152.5042</v>
      </c>
    </row>
    <row r="624" spans="1:43" ht="15">
      <c r="J624" s="102"/>
    </row>
    <row r="625" spans="1:25" ht="15.75" thickBot="1">
      <c r="A625" s="59" t="s">
        <v>559</v>
      </c>
      <c r="J625" s="102"/>
      <c r="K625" s="75"/>
    </row>
    <row r="626" spans="1:25" ht="15.75" thickBot="1">
      <c r="A626" s="764" t="s">
        <v>560</v>
      </c>
      <c r="B626" s="767">
        <f>Y630</f>
        <v>116.36</v>
      </c>
      <c r="C626" s="599" t="s">
        <v>84</v>
      </c>
      <c r="D626" s="275"/>
      <c r="E626" s="127"/>
      <c r="F626" s="127"/>
      <c r="G626" s="276"/>
      <c r="H626" s="127"/>
      <c r="I626" s="127"/>
      <c r="J626" s="102"/>
    </row>
    <row r="627" spans="1:25" ht="15.75" thickBot="1">
      <c r="A627" s="764" t="s">
        <v>561</v>
      </c>
      <c r="B627" s="767">
        <f>Y631</f>
        <v>0</v>
      </c>
      <c r="C627" s="599" t="s">
        <v>84</v>
      </c>
      <c r="D627" s="275"/>
      <c r="E627" s="127"/>
      <c r="F627" s="127"/>
      <c r="G627" s="276"/>
      <c r="H627" s="127"/>
      <c r="I627" s="127"/>
      <c r="J627" s="102"/>
    </row>
    <row r="628" spans="1:25" ht="15">
      <c r="J628" s="102"/>
    </row>
    <row r="629" spans="1:25" ht="15.75" thickBot="1">
      <c r="A629" s="59" t="s">
        <v>562</v>
      </c>
      <c r="J629" s="102"/>
    </row>
    <row r="630" spans="1:25" ht="15.75" thickBot="1">
      <c r="A630" s="764" t="s">
        <v>562</v>
      </c>
      <c r="B630" s="765">
        <v>11.11</v>
      </c>
      <c r="C630" s="765">
        <v>14.18</v>
      </c>
      <c r="D630" s="765">
        <v>8.0500000000000007</v>
      </c>
      <c r="E630" s="765">
        <v>2.74</v>
      </c>
      <c r="F630" s="765">
        <v>2.74</v>
      </c>
      <c r="G630" s="91">
        <v>70.66</v>
      </c>
      <c r="H630" s="765">
        <v>6.88</v>
      </c>
      <c r="I630" s="765">
        <v>0</v>
      </c>
      <c r="J630" s="91">
        <v>0</v>
      </c>
      <c r="K630" s="765">
        <v>0</v>
      </c>
      <c r="L630" s="765">
        <v>0</v>
      </c>
      <c r="M630" s="91">
        <v>0</v>
      </c>
      <c r="N630" s="765">
        <v>0</v>
      </c>
      <c r="O630" s="765">
        <v>0</v>
      </c>
      <c r="P630" s="91">
        <v>0</v>
      </c>
      <c r="Q630" s="765">
        <v>0</v>
      </c>
      <c r="R630" s="765">
        <v>0</v>
      </c>
      <c r="S630" s="91">
        <v>0</v>
      </c>
      <c r="T630" s="765">
        <v>0</v>
      </c>
      <c r="U630" s="765">
        <v>0</v>
      </c>
      <c r="V630" s="91">
        <v>0</v>
      </c>
      <c r="W630" s="765">
        <v>0</v>
      </c>
      <c r="X630" s="765">
        <v>0</v>
      </c>
      <c r="Y630" s="77">
        <f>SUM(B630:X630)</f>
        <v>116.36</v>
      </c>
    </row>
    <row r="631" spans="1:25" ht="15.75" thickBot="1">
      <c r="A631" s="764" t="str">
        <f>A627</f>
        <v>Stair screeding</v>
      </c>
      <c r="B631" s="765">
        <v>0</v>
      </c>
      <c r="C631" s="765">
        <v>0</v>
      </c>
      <c r="D631" s="765">
        <v>0</v>
      </c>
      <c r="E631" s="765">
        <v>0</v>
      </c>
      <c r="F631" s="765">
        <v>0</v>
      </c>
      <c r="G631" s="91">
        <v>0</v>
      </c>
      <c r="H631" s="765">
        <v>0</v>
      </c>
      <c r="I631" s="765">
        <v>0</v>
      </c>
      <c r="J631" s="91">
        <v>0</v>
      </c>
      <c r="K631" s="765">
        <v>0</v>
      </c>
      <c r="L631" s="765">
        <v>0</v>
      </c>
      <c r="M631" s="91">
        <v>0</v>
      </c>
      <c r="N631" s="765">
        <v>0</v>
      </c>
      <c r="O631" s="765">
        <v>0</v>
      </c>
      <c r="P631" s="91">
        <v>0</v>
      </c>
      <c r="Q631" s="765">
        <v>0</v>
      </c>
      <c r="R631" s="765">
        <v>0</v>
      </c>
      <c r="S631" s="91">
        <v>0</v>
      </c>
      <c r="T631" s="765">
        <v>0</v>
      </c>
      <c r="U631" s="765">
        <v>0</v>
      </c>
      <c r="V631" s="91">
        <v>0</v>
      </c>
      <c r="W631" s="765">
        <v>0</v>
      </c>
      <c r="X631" s="765">
        <v>0</v>
      </c>
      <c r="Y631" s="77">
        <f>SUM(B631:X631)</f>
        <v>0</v>
      </c>
    </row>
    <row r="633" spans="1:25" ht="15.75" thickBot="1">
      <c r="A633" s="59" t="s">
        <v>563</v>
      </c>
    </row>
    <row r="634" spans="1:25" ht="15.75" thickBot="1">
      <c r="A634" s="326" t="s">
        <v>564</v>
      </c>
      <c r="B634" s="297">
        <f>B585</f>
        <v>138.995</v>
      </c>
      <c r="C634" s="599" t="s">
        <v>84</v>
      </c>
    </row>
    <row r="635" spans="1:25" ht="15.75" thickBot="1">
      <c r="A635" s="326" t="s">
        <v>565</v>
      </c>
      <c r="B635" s="297">
        <f>B614</f>
        <v>417.92697000000004</v>
      </c>
      <c r="C635" s="599" t="s">
        <v>84</v>
      </c>
    </row>
    <row r="636" spans="1:25" ht="15.75" thickBot="1">
      <c r="A636" s="326" t="s">
        <v>566</v>
      </c>
      <c r="B636" s="297">
        <f>Y639</f>
        <v>86.889999999999986</v>
      </c>
      <c r="C636" s="599" t="s">
        <v>84</v>
      </c>
    </row>
    <row r="638" spans="1:25" ht="15.75" thickBot="1">
      <c r="A638" s="59" t="s">
        <v>566</v>
      </c>
      <c r="J638" s="102"/>
    </row>
    <row r="639" spans="1:25" ht="15.75" thickBot="1">
      <c r="A639" s="764" t="str">
        <f>A636</f>
        <v>Ceiling Paiting</v>
      </c>
      <c r="B639" s="765">
        <v>11.18</v>
      </c>
      <c r="C639" s="765">
        <v>14.18</v>
      </c>
      <c r="D639" s="765">
        <v>8.0500000000000007</v>
      </c>
      <c r="E639" s="765">
        <v>2.73</v>
      </c>
      <c r="F639" s="765">
        <v>2.73</v>
      </c>
      <c r="G639" s="91">
        <v>35.64</v>
      </c>
      <c r="H639" s="765">
        <v>6.88</v>
      </c>
      <c r="I639" s="765">
        <v>5.5</v>
      </c>
      <c r="J639" s="91">
        <v>0</v>
      </c>
      <c r="K639" s="765">
        <v>0</v>
      </c>
      <c r="L639" s="765">
        <v>0</v>
      </c>
      <c r="M639" s="91">
        <v>0</v>
      </c>
      <c r="N639" s="765">
        <v>0</v>
      </c>
      <c r="O639" s="765">
        <v>0</v>
      </c>
      <c r="P639" s="91">
        <v>0</v>
      </c>
      <c r="Q639" s="765">
        <v>0</v>
      </c>
      <c r="R639" s="765">
        <v>0</v>
      </c>
      <c r="S639" s="91">
        <v>0</v>
      </c>
      <c r="T639" s="765">
        <v>0</v>
      </c>
      <c r="U639" s="765">
        <v>0</v>
      </c>
      <c r="V639" s="91">
        <v>0</v>
      </c>
      <c r="W639" s="765">
        <v>0</v>
      </c>
      <c r="X639" s="765">
        <v>0</v>
      </c>
      <c r="Y639" s="77">
        <f>SUM(B639:X639)</f>
        <v>86.889999999999986</v>
      </c>
    </row>
    <row r="641" spans="1:43" ht="15.75" thickBot="1">
      <c r="A641" s="59" t="s">
        <v>567</v>
      </c>
    </row>
    <row r="642" spans="1:43" ht="13.5" thickBot="1">
      <c r="A642" s="298" t="s">
        <v>568</v>
      </c>
      <c r="B642" s="90">
        <f>F647</f>
        <v>40.209999999999994</v>
      </c>
      <c r="C642" s="600" t="s">
        <v>84</v>
      </c>
    </row>
    <row r="643" spans="1:43" s="56" customFormat="1" ht="15.75" thickBot="1">
      <c r="A643" s="299" t="s">
        <v>382</v>
      </c>
      <c r="B643" s="300" t="s">
        <v>569</v>
      </c>
      <c r="C643" s="300" t="s">
        <v>409</v>
      </c>
      <c r="D643" s="300" t="s">
        <v>570</v>
      </c>
      <c r="E643" s="300" t="s">
        <v>571</v>
      </c>
      <c r="F643" s="301" t="s">
        <v>572</v>
      </c>
      <c r="G643" s="10"/>
      <c r="H643" s="8"/>
      <c r="I643" s="8"/>
      <c r="J643" s="127"/>
      <c r="K643" s="127"/>
      <c r="L643" s="127"/>
      <c r="M643" s="127"/>
      <c r="N643" s="127"/>
      <c r="O643" s="127"/>
      <c r="P643" s="127"/>
      <c r="Q643" s="127"/>
      <c r="R643" s="127"/>
      <c r="S643" s="127"/>
      <c r="T643" s="127"/>
      <c r="U643" s="127"/>
      <c r="V643" s="127"/>
      <c r="W643" s="127"/>
      <c r="X643" s="127"/>
      <c r="Y643" s="127"/>
      <c r="Z643" s="127"/>
      <c r="AA643" s="127"/>
      <c r="AB643" s="127"/>
      <c r="AC643" s="127"/>
      <c r="AD643" s="127"/>
      <c r="AE643" s="127"/>
      <c r="AF643" s="127"/>
      <c r="AG643" s="276"/>
      <c r="AH643" s="127"/>
      <c r="AI643" s="127"/>
      <c r="AJ643" s="127"/>
      <c r="AK643" s="127"/>
      <c r="AL643" s="127"/>
      <c r="AM643" s="127"/>
      <c r="AN643" s="127"/>
      <c r="AO643" s="127"/>
      <c r="AP643" s="127"/>
      <c r="AQ643" s="276"/>
    </row>
    <row r="644" spans="1:43">
      <c r="A644" s="61"/>
      <c r="B644" s="61"/>
      <c r="C644" s="61"/>
      <c r="D644" s="61"/>
      <c r="E644" s="61"/>
      <c r="F644" s="61"/>
    </row>
    <row r="645" spans="1:43" ht="15">
      <c r="A645" s="68" t="s">
        <v>573</v>
      </c>
      <c r="B645" s="64" t="s">
        <v>574</v>
      </c>
      <c r="C645" s="78">
        <f>Q650</f>
        <v>40.209999999999994</v>
      </c>
      <c r="D645" s="78">
        <f>Q651</f>
        <v>0</v>
      </c>
      <c r="E645" s="78">
        <f>0.1*D645</f>
        <v>0</v>
      </c>
      <c r="F645" s="79">
        <f>E645+C645</f>
        <v>40.209999999999994</v>
      </c>
      <c r="G645" s="60"/>
    </row>
    <row r="646" spans="1:43" s="56" customFormat="1" ht="15.75" thickBot="1">
      <c r="A646" s="68"/>
      <c r="B646" s="64"/>
      <c r="C646" s="78"/>
      <c r="D646" s="78"/>
      <c r="E646" s="78"/>
      <c r="F646" s="79"/>
      <c r="G646" s="60"/>
      <c r="H646" s="8"/>
      <c r="I646" s="8"/>
      <c r="J646" s="127"/>
      <c r="K646" s="127"/>
      <c r="L646" s="127"/>
      <c r="M646" s="127"/>
      <c r="N646" s="127"/>
      <c r="O646" s="127"/>
      <c r="P646" s="127"/>
      <c r="Q646" s="127"/>
      <c r="R646" s="127"/>
      <c r="S646" s="127"/>
      <c r="T646" s="127"/>
      <c r="U646" s="127"/>
      <c r="V646" s="127"/>
      <c r="W646" s="127"/>
      <c r="X646" s="127"/>
      <c r="Y646" s="127"/>
      <c r="Z646" s="127"/>
      <c r="AA646" s="127"/>
      <c r="AB646" s="127"/>
      <c r="AC646" s="127"/>
      <c r="AD646" s="127"/>
      <c r="AE646" s="127"/>
      <c r="AF646" s="127"/>
      <c r="AG646" s="276"/>
      <c r="AH646" s="127"/>
      <c r="AI646" s="127"/>
      <c r="AJ646" s="127"/>
      <c r="AK646" s="127"/>
      <c r="AL646" s="127"/>
      <c r="AM646" s="127"/>
      <c r="AN646" s="127"/>
      <c r="AO646" s="127"/>
      <c r="AP646" s="127"/>
      <c r="AQ646" s="276"/>
    </row>
    <row r="647" spans="1:43" ht="13.5" thickBot="1">
      <c r="A647" s="964" t="s">
        <v>393</v>
      </c>
      <c r="B647" s="965"/>
      <c r="C647" s="965"/>
      <c r="D647" s="965"/>
      <c r="E647" s="966"/>
      <c r="F647" s="111">
        <f>SUM(F645:F646)</f>
        <v>40.209999999999994</v>
      </c>
    </row>
    <row r="649" spans="1:43" ht="15.75" thickBot="1">
      <c r="A649" s="59" t="s">
        <v>575</v>
      </c>
    </row>
    <row r="650" spans="1:43" ht="15">
      <c r="A650" s="764" t="s">
        <v>576</v>
      </c>
      <c r="B650" s="765">
        <v>11.18</v>
      </c>
      <c r="C650" s="765">
        <v>14.18</v>
      </c>
      <c r="D650" s="765">
        <v>8.0500000000000007</v>
      </c>
      <c r="E650" s="765">
        <v>6.8</v>
      </c>
      <c r="F650" s="765">
        <v>0</v>
      </c>
      <c r="G650" s="765">
        <v>0</v>
      </c>
      <c r="H650" s="765">
        <v>0</v>
      </c>
      <c r="I650" s="765">
        <v>0</v>
      </c>
      <c r="J650" s="765">
        <v>0</v>
      </c>
      <c r="K650" s="765">
        <v>0</v>
      </c>
      <c r="L650" s="765">
        <v>0</v>
      </c>
      <c r="M650" s="765">
        <v>0</v>
      </c>
      <c r="N650" s="765">
        <v>0</v>
      </c>
      <c r="O650" s="765">
        <v>0</v>
      </c>
      <c r="P650" s="765">
        <v>0</v>
      </c>
      <c r="Q650" s="302">
        <f>SUM(B650:P650)</f>
        <v>40.209999999999994</v>
      </c>
    </row>
    <row r="651" spans="1:43" ht="15.75" thickBot="1">
      <c r="A651" s="764" t="s">
        <v>570</v>
      </c>
      <c r="B651" s="765">
        <v>0</v>
      </c>
      <c r="C651" s="765">
        <v>0</v>
      </c>
      <c r="D651" s="765">
        <v>0</v>
      </c>
      <c r="E651" s="765">
        <v>0</v>
      </c>
      <c r="F651" s="765">
        <v>0</v>
      </c>
      <c r="G651" s="765">
        <v>0</v>
      </c>
      <c r="H651" s="765">
        <v>0</v>
      </c>
      <c r="I651" s="765">
        <v>0</v>
      </c>
      <c r="J651" s="765">
        <v>0</v>
      </c>
      <c r="K651" s="765">
        <v>0</v>
      </c>
      <c r="L651" s="765">
        <v>0</v>
      </c>
      <c r="M651" s="765">
        <v>0</v>
      </c>
      <c r="N651" s="765">
        <v>0</v>
      </c>
      <c r="O651" s="765">
        <v>0</v>
      </c>
      <c r="P651" s="765">
        <v>0</v>
      </c>
      <c r="Q651" s="303">
        <f>SUM(B651:P651)</f>
        <v>0</v>
      </c>
    </row>
    <row r="652" spans="1:43" ht="13.5" thickBot="1"/>
    <row r="653" spans="1:43" ht="13.5" thickBot="1">
      <c r="A653" s="298" t="s">
        <v>632</v>
      </c>
      <c r="B653" s="90">
        <f>F658</f>
        <v>70.66</v>
      </c>
      <c r="C653" s="600" t="s">
        <v>84</v>
      </c>
    </row>
    <row r="654" spans="1:43" s="56" customFormat="1" ht="15.75" thickBot="1">
      <c r="A654" s="299" t="s">
        <v>382</v>
      </c>
      <c r="B654" s="300" t="s">
        <v>569</v>
      </c>
      <c r="C654" s="300" t="s">
        <v>409</v>
      </c>
      <c r="D654" s="300" t="s">
        <v>570</v>
      </c>
      <c r="E654" s="300" t="s">
        <v>571</v>
      </c>
      <c r="F654" s="301" t="s">
        <v>572</v>
      </c>
      <c r="G654" s="10"/>
      <c r="H654" s="8"/>
      <c r="I654" s="8"/>
      <c r="J654" s="127"/>
      <c r="K654" s="127"/>
      <c r="L654" s="127"/>
      <c r="M654" s="127"/>
      <c r="N654" s="127"/>
      <c r="O654" s="127"/>
      <c r="P654" s="127"/>
      <c r="Q654" s="127"/>
      <c r="R654" s="127"/>
      <c r="S654" s="127"/>
      <c r="T654" s="127"/>
      <c r="U654" s="127"/>
      <c r="V654" s="127"/>
      <c r="W654" s="127"/>
      <c r="X654" s="127"/>
      <c r="Y654" s="127"/>
      <c r="Z654" s="127"/>
      <c r="AA654" s="127"/>
      <c r="AB654" s="127"/>
      <c r="AC654" s="127"/>
      <c r="AD654" s="127"/>
      <c r="AE654" s="127"/>
      <c r="AF654" s="127"/>
      <c r="AG654" s="276"/>
      <c r="AH654" s="127"/>
      <c r="AI654" s="127"/>
      <c r="AJ654" s="127"/>
      <c r="AK654" s="127"/>
      <c r="AL654" s="127"/>
      <c r="AM654" s="127"/>
      <c r="AN654" s="127"/>
      <c r="AO654" s="127"/>
      <c r="AP654" s="127"/>
      <c r="AQ654" s="276"/>
    </row>
    <row r="655" spans="1:43">
      <c r="A655" s="61"/>
      <c r="B655" s="61"/>
      <c r="C655" s="61"/>
      <c r="D655" s="61"/>
      <c r="E655" s="61"/>
      <c r="F655" s="61"/>
    </row>
    <row r="656" spans="1:43" ht="15">
      <c r="A656" s="68" t="s">
        <v>573</v>
      </c>
      <c r="B656" s="64" t="s">
        <v>574</v>
      </c>
      <c r="C656" s="78">
        <f>Q661</f>
        <v>70.66</v>
      </c>
      <c r="D656" s="78">
        <f>Q662</f>
        <v>0</v>
      </c>
      <c r="E656" s="78">
        <f>0.1*D656</f>
        <v>0</v>
      </c>
      <c r="F656" s="79">
        <f>E656+C656</f>
        <v>70.66</v>
      </c>
      <c r="G656" s="60"/>
    </row>
    <row r="657" spans="1:43" s="56" customFormat="1" ht="15.75" thickBot="1">
      <c r="A657" s="68"/>
      <c r="B657" s="64"/>
      <c r="C657" s="78"/>
      <c r="D657" s="78"/>
      <c r="E657" s="78"/>
      <c r="F657" s="79"/>
      <c r="G657" s="60"/>
      <c r="H657" s="8"/>
      <c r="I657" s="8"/>
      <c r="J657" s="127"/>
      <c r="K657" s="127"/>
      <c r="L657" s="127"/>
      <c r="M657" s="127"/>
      <c r="N657" s="127"/>
      <c r="O657" s="127"/>
      <c r="P657" s="127"/>
      <c r="Q657" s="127"/>
      <c r="R657" s="127"/>
      <c r="S657" s="127"/>
      <c r="T657" s="127"/>
      <c r="U657" s="127"/>
      <c r="V657" s="127"/>
      <c r="W657" s="127"/>
      <c r="X657" s="127"/>
      <c r="Y657" s="127"/>
      <c r="Z657" s="127"/>
      <c r="AA657" s="127"/>
      <c r="AB657" s="127"/>
      <c r="AC657" s="127"/>
      <c r="AD657" s="127"/>
      <c r="AE657" s="127"/>
      <c r="AF657" s="127"/>
      <c r="AG657" s="276"/>
      <c r="AH657" s="127"/>
      <c r="AI657" s="127"/>
      <c r="AJ657" s="127"/>
      <c r="AK657" s="127"/>
      <c r="AL657" s="127"/>
      <c r="AM657" s="127"/>
      <c r="AN657" s="127"/>
      <c r="AO657" s="127"/>
      <c r="AP657" s="127"/>
      <c r="AQ657" s="276"/>
    </row>
    <row r="658" spans="1:43" ht="13.5" thickBot="1">
      <c r="A658" s="964" t="s">
        <v>393</v>
      </c>
      <c r="B658" s="965"/>
      <c r="C658" s="965"/>
      <c r="D658" s="965"/>
      <c r="E658" s="966"/>
      <c r="F658" s="111">
        <f>SUM(F656:F657)</f>
        <v>70.66</v>
      </c>
    </row>
    <row r="660" spans="1:43" ht="15.75" thickBot="1">
      <c r="A660" s="59" t="s">
        <v>575</v>
      </c>
    </row>
    <row r="661" spans="1:43" ht="15">
      <c r="A661" s="764" t="s">
        <v>576</v>
      </c>
      <c r="B661" s="765">
        <v>70.66</v>
      </c>
      <c r="C661" s="765">
        <v>0</v>
      </c>
      <c r="D661" s="765">
        <v>0</v>
      </c>
      <c r="E661" s="765">
        <v>0</v>
      </c>
      <c r="F661" s="765">
        <v>0</v>
      </c>
      <c r="G661" s="765">
        <v>0</v>
      </c>
      <c r="H661" s="765">
        <v>0</v>
      </c>
      <c r="I661" s="765">
        <v>0</v>
      </c>
      <c r="J661" s="765">
        <v>0</v>
      </c>
      <c r="K661" s="765">
        <v>0</v>
      </c>
      <c r="L661" s="765">
        <v>0</v>
      </c>
      <c r="M661" s="765">
        <v>0</v>
      </c>
      <c r="N661" s="765">
        <v>0</v>
      </c>
      <c r="O661" s="765">
        <v>0</v>
      </c>
      <c r="P661" s="765">
        <v>0</v>
      </c>
      <c r="Q661" s="302">
        <f>SUM(B661:P661)</f>
        <v>70.66</v>
      </c>
    </row>
    <row r="662" spans="1:43" ht="15.75" thickBot="1">
      <c r="A662" s="764" t="s">
        <v>570</v>
      </c>
      <c r="B662" s="765">
        <v>0</v>
      </c>
      <c r="C662" s="765">
        <v>0</v>
      </c>
      <c r="D662" s="765">
        <v>0</v>
      </c>
      <c r="E662" s="765">
        <v>0</v>
      </c>
      <c r="F662" s="765">
        <v>0</v>
      </c>
      <c r="G662" s="765">
        <v>0</v>
      </c>
      <c r="H662" s="765">
        <v>0</v>
      </c>
      <c r="I662" s="765">
        <v>0</v>
      </c>
      <c r="J662" s="765">
        <v>0</v>
      </c>
      <c r="K662" s="765">
        <v>0</v>
      </c>
      <c r="L662" s="765">
        <v>0</v>
      </c>
      <c r="M662" s="765">
        <v>0</v>
      </c>
      <c r="N662" s="765">
        <v>0</v>
      </c>
      <c r="O662" s="765">
        <v>0</v>
      </c>
      <c r="P662" s="765">
        <v>0</v>
      </c>
      <c r="Q662" s="303">
        <f>SUM(B662:P662)</f>
        <v>0</v>
      </c>
    </row>
    <row r="663" spans="1:43" ht="13.5" thickBot="1"/>
    <row r="664" spans="1:43" ht="13.5" thickBot="1">
      <c r="A664" s="298" t="s">
        <v>577</v>
      </c>
      <c r="B664" s="90">
        <f>D669</f>
        <v>5.48</v>
      </c>
      <c r="C664" s="83" t="s">
        <v>84</v>
      </c>
    </row>
    <row r="665" spans="1:43" ht="13.5" thickBot="1">
      <c r="A665" s="283" t="s">
        <v>382</v>
      </c>
      <c r="B665" s="284" t="s">
        <v>569</v>
      </c>
      <c r="C665" s="284" t="s">
        <v>409</v>
      </c>
      <c r="D665" s="285" t="s">
        <v>572</v>
      </c>
      <c r="E665" s="10"/>
    </row>
    <row r="666" spans="1:43" ht="15">
      <c r="A666" s="84" t="s">
        <v>578</v>
      </c>
      <c r="B666" s="66" t="s">
        <v>579</v>
      </c>
      <c r="C666" s="82">
        <f>K672</f>
        <v>5.48</v>
      </c>
      <c r="D666" s="88">
        <f>C666</f>
        <v>5.48</v>
      </c>
      <c r="E666" s="60"/>
    </row>
    <row r="667" spans="1:43" ht="15">
      <c r="A667" s="68"/>
      <c r="B667" s="85"/>
      <c r="C667" s="78"/>
      <c r="D667" s="79"/>
      <c r="E667" s="60"/>
    </row>
    <row r="668" spans="1:43" ht="15.75" thickBot="1">
      <c r="A668" s="68"/>
      <c r="B668" s="85"/>
      <c r="C668" s="78"/>
      <c r="D668" s="79"/>
      <c r="E668" s="60"/>
    </row>
    <row r="669" spans="1:43" ht="13.5" thickBot="1">
      <c r="A669" s="967" t="s">
        <v>393</v>
      </c>
      <c r="B669" s="959"/>
      <c r="C669" s="960"/>
      <c r="D669" s="111">
        <f>SUM(D666:D668)</f>
        <v>5.48</v>
      </c>
    </row>
    <row r="670" spans="1:43" s="56" customFormat="1" ht="15">
      <c r="A670" s="8"/>
      <c r="B670" s="8"/>
      <c r="C670" s="8"/>
      <c r="D670" s="8"/>
      <c r="E670" s="8"/>
      <c r="F670" s="8"/>
      <c r="G670" s="8"/>
      <c r="H670" s="8"/>
      <c r="I670" s="8"/>
      <c r="AH670" s="127"/>
      <c r="AI670" s="127"/>
      <c r="AJ670" s="127"/>
      <c r="AK670" s="127"/>
      <c r="AL670" s="127"/>
      <c r="AM670" s="127"/>
      <c r="AN670" s="127"/>
      <c r="AO670" s="127"/>
      <c r="AP670" s="127"/>
      <c r="AQ670" s="276"/>
    </row>
    <row r="671" spans="1:43" ht="15.75" thickBot="1">
      <c r="A671" s="59" t="s">
        <v>575</v>
      </c>
    </row>
    <row r="672" spans="1:43" ht="15.75" thickBot="1">
      <c r="A672" s="764" t="s">
        <v>576</v>
      </c>
      <c r="B672" s="765">
        <v>2.74</v>
      </c>
      <c r="C672" s="765">
        <v>2.74</v>
      </c>
      <c r="D672" s="765">
        <v>0</v>
      </c>
      <c r="E672" s="765">
        <v>0</v>
      </c>
      <c r="F672" s="765">
        <v>0</v>
      </c>
      <c r="G672" s="765">
        <v>0</v>
      </c>
      <c r="H672" s="765">
        <v>0</v>
      </c>
      <c r="I672" s="765">
        <v>0</v>
      </c>
      <c r="J672" s="765">
        <v>0</v>
      </c>
      <c r="K672" s="282">
        <f>SUM(B672:J672)</f>
        <v>5.48</v>
      </c>
      <c r="L672" s="278"/>
      <c r="M672" s="127"/>
      <c r="N672" s="127"/>
      <c r="O672" s="127"/>
      <c r="P672" s="127"/>
      <c r="Q672" s="127"/>
      <c r="R672" s="127"/>
      <c r="S672" s="127"/>
      <c r="T672" s="127"/>
      <c r="U672" s="127"/>
      <c r="V672" s="127"/>
      <c r="W672" s="127"/>
      <c r="X672" s="127"/>
      <c r="Y672" s="127"/>
      <c r="Z672" s="127"/>
      <c r="AA672" s="127"/>
      <c r="AB672" s="127"/>
      <c r="AC672" s="127"/>
      <c r="AD672" s="127"/>
      <c r="AE672" s="127"/>
      <c r="AF672" s="127"/>
    </row>
    <row r="674" spans="1:43" ht="13.5" thickBot="1"/>
    <row r="675" spans="1:43" ht="13.5" thickBot="1">
      <c r="A675" s="304" t="s">
        <v>580</v>
      </c>
      <c r="B675" s="86">
        <f>E681</f>
        <v>30.380000000000003</v>
      </c>
      <c r="C675" s="87" t="s">
        <v>84</v>
      </c>
    </row>
    <row r="676" spans="1:43" ht="13.5" thickBot="1">
      <c r="A676" s="283" t="s">
        <v>382</v>
      </c>
      <c r="B676" s="284" t="s">
        <v>569</v>
      </c>
      <c r="C676" s="305" t="s">
        <v>383</v>
      </c>
      <c r="D676" s="305" t="s">
        <v>385</v>
      </c>
      <c r="E676" s="285" t="s">
        <v>572</v>
      </c>
    </row>
    <row r="677" spans="1:43" ht="15">
      <c r="A677" s="84" t="s">
        <v>581</v>
      </c>
      <c r="B677" s="66" t="s">
        <v>582</v>
      </c>
      <c r="C677" s="82">
        <f>K684</f>
        <v>13.24</v>
      </c>
      <c r="D677" s="88">
        <v>2.5</v>
      </c>
      <c r="E677" s="88">
        <f>D677*C677</f>
        <v>33.1</v>
      </c>
    </row>
    <row r="678" spans="1:43" ht="15">
      <c r="A678" s="68"/>
      <c r="B678" s="85"/>
      <c r="C678" s="78"/>
      <c r="D678" s="79"/>
      <c r="E678" s="79"/>
    </row>
    <row r="679" spans="1:43" s="56" customFormat="1" ht="15">
      <c r="A679" s="279" t="s">
        <v>583</v>
      </c>
      <c r="B679" s="85"/>
      <c r="C679" s="78">
        <v>0</v>
      </c>
      <c r="D679" s="79">
        <v>0</v>
      </c>
      <c r="E679" s="79">
        <f>K685</f>
        <v>2.72</v>
      </c>
      <c r="F679" s="8"/>
      <c r="G679" s="8"/>
      <c r="H679" s="8"/>
      <c r="I679" s="8"/>
      <c r="AH679" s="127"/>
      <c r="AI679" s="127"/>
      <c r="AJ679" s="127"/>
      <c r="AK679" s="127"/>
      <c r="AL679" s="127"/>
      <c r="AM679" s="127"/>
      <c r="AN679" s="127"/>
      <c r="AO679" s="127"/>
      <c r="AP679" s="127"/>
      <c r="AQ679" s="276"/>
    </row>
    <row r="680" spans="1:43" ht="15.75" thickBot="1">
      <c r="A680" s="68"/>
      <c r="B680" s="85"/>
      <c r="C680" s="78"/>
      <c r="D680" s="79"/>
      <c r="E680" s="79"/>
    </row>
    <row r="681" spans="1:43" ht="13.5" thickBot="1">
      <c r="A681" s="967" t="s">
        <v>393</v>
      </c>
      <c r="B681" s="959"/>
      <c r="C681" s="959"/>
      <c r="D681" s="960"/>
      <c r="E681" s="111">
        <f>E677-E679</f>
        <v>30.380000000000003</v>
      </c>
    </row>
    <row r="683" spans="1:43" ht="15.75" thickBot="1">
      <c r="A683" s="59" t="s">
        <v>584</v>
      </c>
    </row>
    <row r="684" spans="1:43" ht="15.75" thickBot="1">
      <c r="A684" s="764" t="s">
        <v>383</v>
      </c>
      <c r="B684" s="765">
        <v>6.62</v>
      </c>
      <c r="C684" s="765">
        <v>6.62</v>
      </c>
      <c r="D684" s="765">
        <v>0</v>
      </c>
      <c r="E684" s="765">
        <v>0</v>
      </c>
      <c r="F684" s="765">
        <v>0</v>
      </c>
      <c r="G684" s="765">
        <v>0</v>
      </c>
      <c r="H684" s="765">
        <v>0</v>
      </c>
      <c r="I684" s="765">
        <v>0</v>
      </c>
      <c r="J684" s="765">
        <v>0</v>
      </c>
      <c r="K684" s="282">
        <f>SUM(B684:J684)</f>
        <v>13.24</v>
      </c>
      <c r="L684" s="278"/>
      <c r="M684" s="127"/>
      <c r="N684" s="127"/>
      <c r="O684" s="127"/>
      <c r="P684" s="127"/>
      <c r="Q684" s="127"/>
      <c r="R684" s="127"/>
      <c r="S684" s="127"/>
      <c r="T684" s="127"/>
      <c r="U684" s="127"/>
      <c r="V684" s="127"/>
      <c r="W684" s="127"/>
      <c r="X684" s="127"/>
      <c r="Y684" s="127"/>
      <c r="Z684" s="127"/>
      <c r="AA684" s="127"/>
      <c r="AB684" s="127"/>
      <c r="AC684" s="127"/>
      <c r="AD684" s="127"/>
      <c r="AE684" s="127"/>
      <c r="AF684" s="127"/>
    </row>
    <row r="685" spans="1:43" ht="15.75" thickBot="1">
      <c r="A685" s="764" t="s">
        <v>447</v>
      </c>
      <c r="B685" s="768">
        <v>1.36</v>
      </c>
      <c r="C685" s="768">
        <v>1.36</v>
      </c>
      <c r="D685" s="768">
        <v>0</v>
      </c>
      <c r="E685" s="768">
        <v>0</v>
      </c>
      <c r="F685" s="768">
        <v>0</v>
      </c>
      <c r="G685" s="768">
        <v>0</v>
      </c>
      <c r="H685" s="768">
        <v>0</v>
      </c>
      <c r="I685" s="768">
        <v>0</v>
      </c>
      <c r="J685" s="765">
        <v>0</v>
      </c>
      <c r="K685" s="282">
        <f>SUM(B685:J685)</f>
        <v>2.72</v>
      </c>
      <c r="L685" s="278"/>
      <c r="M685" s="127"/>
      <c r="N685" s="127"/>
      <c r="O685" s="127"/>
      <c r="P685" s="127"/>
      <c r="Q685" s="127"/>
      <c r="R685" s="127"/>
      <c r="S685" s="127"/>
      <c r="T685" s="127"/>
      <c r="U685" s="127"/>
      <c r="V685" s="127"/>
      <c r="W685" s="127"/>
      <c r="X685" s="127"/>
      <c r="Y685" s="127"/>
      <c r="Z685" s="127"/>
      <c r="AA685" s="127"/>
      <c r="AB685" s="127"/>
      <c r="AC685" s="127"/>
      <c r="AD685" s="127"/>
      <c r="AE685" s="127"/>
      <c r="AF685" s="127"/>
    </row>
    <row r="687" spans="1:43" ht="13.5" thickBot="1"/>
    <row r="688" spans="1:43" ht="13.5" thickBot="1">
      <c r="A688" s="304" t="s">
        <v>585</v>
      </c>
      <c r="B688" s="325">
        <f>E694</f>
        <v>0</v>
      </c>
      <c r="C688" s="87" t="s">
        <v>84</v>
      </c>
    </row>
    <row r="689" spans="1:32" ht="13.5" thickBot="1">
      <c r="A689" s="283" t="s">
        <v>382</v>
      </c>
      <c r="B689" s="305" t="s">
        <v>291</v>
      </c>
      <c r="C689" s="305" t="s">
        <v>383</v>
      </c>
      <c r="D689" s="305" t="s">
        <v>385</v>
      </c>
      <c r="E689" s="285" t="s">
        <v>572</v>
      </c>
    </row>
    <row r="690" spans="1:32" ht="15">
      <c r="A690" s="84" t="s">
        <v>586</v>
      </c>
      <c r="B690" s="66">
        <v>0</v>
      </c>
      <c r="C690" s="82">
        <v>0</v>
      </c>
      <c r="D690" s="601">
        <v>0</v>
      </c>
      <c r="E690" s="88">
        <f>B690*C690*D690</f>
        <v>0</v>
      </c>
    </row>
    <row r="691" spans="1:32" ht="15">
      <c r="A691" s="68" t="s">
        <v>587</v>
      </c>
      <c r="B691" s="85">
        <v>0</v>
      </c>
      <c r="C691" s="78">
        <v>0</v>
      </c>
      <c r="D691" s="602">
        <v>0</v>
      </c>
      <c r="E691" s="79">
        <f>D691*C691*B691</f>
        <v>0</v>
      </c>
    </row>
    <row r="692" spans="1:32" ht="15">
      <c r="A692" s="68" t="s">
        <v>588</v>
      </c>
      <c r="B692" s="85">
        <v>1</v>
      </c>
      <c r="C692" s="78">
        <f>K697</f>
        <v>0</v>
      </c>
      <c r="D692" s="602">
        <v>0</v>
      </c>
      <c r="E692" s="79">
        <f>D692*C692*B692</f>
        <v>0</v>
      </c>
    </row>
    <row r="693" spans="1:32" ht="15.75" thickBot="1">
      <c r="A693" s="68"/>
      <c r="B693" s="85"/>
      <c r="C693" s="78"/>
      <c r="D693" s="79"/>
      <c r="E693" s="79"/>
    </row>
    <row r="694" spans="1:32" ht="13.5" thickBot="1">
      <c r="A694" s="967" t="s">
        <v>393</v>
      </c>
      <c r="B694" s="959"/>
      <c r="C694" s="959"/>
      <c r="D694" s="960"/>
      <c r="E694" s="111">
        <f>SUM(E690:E693)</f>
        <v>0</v>
      </c>
    </row>
    <row r="696" spans="1:32" ht="15.75" thickBot="1">
      <c r="A696" s="59" t="s">
        <v>113</v>
      </c>
    </row>
    <row r="697" spans="1:32" ht="15.75" thickBot="1">
      <c r="A697" s="769" t="s">
        <v>588</v>
      </c>
      <c r="B697" s="765">
        <v>0</v>
      </c>
      <c r="C697" s="765">
        <v>0</v>
      </c>
      <c r="D697" s="765">
        <v>0</v>
      </c>
      <c r="E697" s="765">
        <v>0</v>
      </c>
      <c r="F697" s="765">
        <v>0</v>
      </c>
      <c r="G697" s="765">
        <v>0</v>
      </c>
      <c r="H697" s="765">
        <v>0</v>
      </c>
      <c r="I697" s="765">
        <v>0</v>
      </c>
      <c r="J697" s="765">
        <v>0</v>
      </c>
      <c r="K697" s="282">
        <f>SUM(B697:J697)</f>
        <v>0</v>
      </c>
      <c r="L697" s="278"/>
      <c r="M697" s="127"/>
      <c r="N697" s="127"/>
      <c r="O697" s="127"/>
      <c r="P697" s="127"/>
      <c r="Q697" s="127"/>
      <c r="R697" s="127"/>
      <c r="S697" s="127"/>
      <c r="T697" s="127"/>
      <c r="U697" s="127"/>
      <c r="V697" s="127"/>
      <c r="W697" s="127"/>
      <c r="X697" s="127"/>
      <c r="Y697" s="127"/>
      <c r="Z697" s="127"/>
      <c r="AA697" s="127"/>
      <c r="AB697" s="127"/>
      <c r="AC697" s="127"/>
      <c r="AD697" s="127"/>
      <c r="AE697" s="127"/>
      <c r="AF697" s="127"/>
    </row>
    <row r="698" spans="1:32" ht="15.75" customHeight="1" thickBot="1"/>
    <row r="699" spans="1:32" ht="13.5" thickBot="1">
      <c r="A699" s="304" t="s">
        <v>589</v>
      </c>
      <c r="B699" s="325">
        <v>4.2</v>
      </c>
      <c r="C699" s="87" t="s">
        <v>84</v>
      </c>
    </row>
    <row r="700" spans="1:32" ht="13.5" thickBot="1">
      <c r="A700" s="283" t="s">
        <v>382</v>
      </c>
      <c r="B700" s="305" t="s">
        <v>291</v>
      </c>
      <c r="C700" s="305" t="s">
        <v>383</v>
      </c>
      <c r="D700" s="305" t="s">
        <v>385</v>
      </c>
      <c r="E700" s="285" t="s">
        <v>572</v>
      </c>
    </row>
    <row r="701" spans="1:32" ht="15">
      <c r="A701" s="84" t="s">
        <v>590</v>
      </c>
      <c r="B701" s="66">
        <v>0</v>
      </c>
      <c r="C701" s="82">
        <v>0</v>
      </c>
      <c r="D701" s="88">
        <v>0</v>
      </c>
      <c r="E701" s="79">
        <f>D701*C701*B701</f>
        <v>0</v>
      </c>
    </row>
    <row r="702" spans="1:32" ht="15">
      <c r="A702" s="68" t="s">
        <v>591</v>
      </c>
      <c r="B702" s="85">
        <v>0</v>
      </c>
      <c r="C702" s="78">
        <v>0</v>
      </c>
      <c r="D702" s="79">
        <v>0</v>
      </c>
      <c r="E702" s="79">
        <f>D702*C702*B702</f>
        <v>0</v>
      </c>
    </row>
    <row r="703" spans="1:32" ht="15">
      <c r="A703" s="68" t="s">
        <v>592</v>
      </c>
      <c r="B703" s="85">
        <v>0</v>
      </c>
      <c r="C703" s="78">
        <v>0</v>
      </c>
      <c r="D703" s="79">
        <v>0</v>
      </c>
      <c r="E703" s="79">
        <f>D703*C703*B703</f>
        <v>0</v>
      </c>
    </row>
    <row r="704" spans="1:32" ht="15.75" thickBot="1">
      <c r="A704" s="68"/>
      <c r="B704" s="85">
        <v>0</v>
      </c>
      <c r="C704" s="78"/>
      <c r="D704" s="79"/>
      <c r="E704" s="79"/>
    </row>
    <row r="705" spans="1:43" ht="13.5" thickBot="1">
      <c r="A705" s="967" t="s">
        <v>393</v>
      </c>
      <c r="B705" s="959"/>
      <c r="C705" s="959"/>
      <c r="D705" s="960"/>
      <c r="E705" s="111">
        <f>SUM(E701:E704)</f>
        <v>0</v>
      </c>
    </row>
    <row r="708" spans="1:43" s="56" customFormat="1" ht="15.75" thickBot="1">
      <c r="A708" s="59" t="s">
        <v>593</v>
      </c>
      <c r="B708" s="8"/>
      <c r="C708" s="8"/>
      <c r="D708" s="8"/>
      <c r="E708" s="8"/>
      <c r="F708" s="8"/>
      <c r="G708" s="8"/>
      <c r="H708" s="8"/>
      <c r="I708" s="8"/>
      <c r="J708" s="127"/>
      <c r="K708" s="127"/>
      <c r="L708" s="127"/>
      <c r="M708" s="127"/>
      <c r="N708" s="127"/>
      <c r="O708" s="127"/>
      <c r="P708" s="127"/>
      <c r="Q708" s="127"/>
      <c r="R708" s="127"/>
      <c r="S708" s="127"/>
      <c r="T708" s="127"/>
      <c r="U708" s="127"/>
      <c r="V708" s="127"/>
      <c r="W708" s="127"/>
      <c r="X708" s="127"/>
      <c r="Y708" s="127"/>
      <c r="Z708" s="127"/>
      <c r="AA708" s="127"/>
      <c r="AB708" s="127"/>
      <c r="AC708" s="127"/>
      <c r="AD708" s="127"/>
      <c r="AE708" s="127"/>
      <c r="AF708" s="276"/>
      <c r="AG708" s="127"/>
      <c r="AH708" s="127"/>
      <c r="AI708" s="127"/>
      <c r="AJ708" s="127"/>
      <c r="AK708" s="127"/>
      <c r="AL708" s="127"/>
      <c r="AM708" s="127"/>
      <c r="AN708" s="127"/>
      <c r="AO708" s="127"/>
      <c r="AP708" s="127"/>
      <c r="AQ708" s="276"/>
    </row>
    <row r="709" spans="1:43" s="56" customFormat="1" ht="15.75" thickBot="1">
      <c r="A709" s="764" t="s">
        <v>594</v>
      </c>
      <c r="B709" s="767">
        <f>K712</f>
        <v>5.46</v>
      </c>
      <c r="C709" s="282" t="s">
        <v>84</v>
      </c>
      <c r="D709" s="275" t="s">
        <v>595</v>
      </c>
      <c r="E709" s="127"/>
      <c r="F709" s="127"/>
      <c r="G709" s="276"/>
      <c r="H709" s="127"/>
      <c r="I709" s="127"/>
      <c r="J709" s="281"/>
      <c r="K709" s="281"/>
      <c r="L709" s="281"/>
      <c r="M709" s="281"/>
      <c r="N709" s="281"/>
      <c r="O709" s="281"/>
      <c r="P709" s="281"/>
      <c r="Q709" s="281"/>
      <c r="R709" s="281"/>
      <c r="S709" s="281"/>
      <c r="T709" s="281"/>
      <c r="U709" s="281"/>
      <c r="V709" s="281"/>
      <c r="W709" s="281"/>
      <c r="X709" s="281"/>
      <c r="Y709" s="281"/>
      <c r="Z709" s="281"/>
      <c r="AA709" s="281"/>
      <c r="AB709" s="281"/>
      <c r="AC709" s="281"/>
      <c r="AD709" s="281"/>
      <c r="AE709" s="281"/>
      <c r="AF709" s="276"/>
      <c r="AG709" s="127"/>
      <c r="AH709" s="127"/>
      <c r="AI709" s="127"/>
      <c r="AJ709" s="127"/>
      <c r="AK709" s="127"/>
      <c r="AL709" s="127"/>
      <c r="AM709" s="127"/>
      <c r="AN709" s="127"/>
      <c r="AO709" s="127"/>
      <c r="AP709" s="127"/>
      <c r="AQ709" s="276"/>
    </row>
    <row r="710" spans="1:43" s="56" customFormat="1" ht="15">
      <c r="A710" s="8"/>
      <c r="B710" s="8"/>
      <c r="C710" s="8"/>
      <c r="D710" s="8"/>
      <c r="E710" s="8"/>
      <c r="F710" s="8"/>
      <c r="G710" s="8"/>
      <c r="H710" s="8"/>
      <c r="I710" s="8"/>
      <c r="J710" s="127"/>
      <c r="K710" s="127"/>
      <c r="L710" s="127"/>
      <c r="M710" s="127"/>
      <c r="N710" s="127"/>
      <c r="O710" s="127"/>
      <c r="P710" s="127"/>
      <c r="Q710" s="127"/>
      <c r="R710" s="127"/>
      <c r="S710" s="127"/>
      <c r="T710" s="127"/>
      <c r="U710" s="127"/>
      <c r="V710" s="127"/>
      <c r="W710" s="127"/>
      <c r="X710" s="127"/>
      <c r="Y710" s="127"/>
      <c r="Z710" s="127"/>
      <c r="AA710" s="127"/>
      <c r="AB710" s="127"/>
      <c r="AC710" s="127"/>
      <c r="AD710" s="127"/>
      <c r="AE710" s="127"/>
      <c r="AF710" s="276"/>
      <c r="AG710" s="127"/>
      <c r="AH710" s="127"/>
      <c r="AI710" s="127"/>
      <c r="AJ710" s="127"/>
      <c r="AK710" s="127"/>
      <c r="AL710" s="127"/>
      <c r="AM710" s="127"/>
      <c r="AN710" s="127"/>
      <c r="AO710" s="127"/>
      <c r="AP710" s="127"/>
      <c r="AQ710" s="276"/>
    </row>
    <row r="711" spans="1:43" ht="15.75" thickBot="1">
      <c r="A711" s="59" t="s">
        <v>409</v>
      </c>
    </row>
    <row r="712" spans="1:43" ht="15.75" thickBot="1">
      <c r="A712" s="764" t="str">
        <f>A709</f>
        <v>Gypsum ceiling</v>
      </c>
      <c r="B712" s="765">
        <v>2.73</v>
      </c>
      <c r="C712" s="765">
        <v>2.73</v>
      </c>
      <c r="D712" s="765">
        <v>0</v>
      </c>
      <c r="E712" s="765">
        <v>0</v>
      </c>
      <c r="F712" s="765">
        <v>0</v>
      </c>
      <c r="G712" s="91">
        <v>0</v>
      </c>
      <c r="H712" s="765">
        <v>0</v>
      </c>
      <c r="I712" s="765">
        <v>0</v>
      </c>
      <c r="J712" s="765">
        <v>0</v>
      </c>
      <c r="K712" s="282">
        <f>SUM(B712:J712)</f>
        <v>5.46</v>
      </c>
      <c r="L712" s="306"/>
      <c r="Y712" s="102"/>
    </row>
    <row r="714" spans="1:43" ht="13.5" thickBot="1"/>
    <row r="715" spans="1:43" ht="13.5" thickBot="1">
      <c r="A715" s="304" t="s">
        <v>596</v>
      </c>
      <c r="B715" s="86"/>
      <c r="C715" s="87"/>
    </row>
    <row r="716" spans="1:43" ht="13.5" thickBot="1">
      <c r="A716" s="283" t="s">
        <v>382</v>
      </c>
      <c r="B716" s="305" t="s">
        <v>633</v>
      </c>
      <c r="C716" s="305" t="s">
        <v>634</v>
      </c>
      <c r="D716" s="305" t="s">
        <v>635</v>
      </c>
      <c r="E716" s="305" t="s">
        <v>636</v>
      </c>
      <c r="F716" s="308" t="s">
        <v>572</v>
      </c>
      <c r="G716" s="18"/>
      <c r="H716" s="18"/>
      <c r="I716" s="18"/>
      <c r="J716" s="18"/>
    </row>
    <row r="717" spans="1:43" s="56" customFormat="1" ht="15">
      <c r="A717" s="84"/>
      <c r="B717" s="66"/>
      <c r="C717" s="82"/>
      <c r="D717" s="82"/>
      <c r="E717" s="82"/>
      <c r="F717" s="82"/>
      <c r="G717" s="75"/>
      <c r="H717" s="75"/>
      <c r="I717" s="75"/>
      <c r="J717" s="75"/>
      <c r="K717" s="127"/>
      <c r="L717" s="127"/>
      <c r="M717" s="127"/>
      <c r="N717" s="127"/>
      <c r="O717" s="127"/>
      <c r="P717" s="127"/>
      <c r="Q717" s="127"/>
      <c r="R717" s="127"/>
      <c r="S717" s="127"/>
      <c r="T717" s="127"/>
      <c r="U717" s="127"/>
      <c r="V717" s="127"/>
      <c r="W717" s="127"/>
      <c r="X717" s="127"/>
      <c r="Y717" s="127"/>
      <c r="Z717" s="127"/>
      <c r="AA717" s="127"/>
      <c r="AB717" s="127"/>
      <c r="AC717" s="127"/>
      <c r="AD717" s="127"/>
      <c r="AE717" s="127"/>
      <c r="AF717" s="127"/>
      <c r="AG717" s="276"/>
      <c r="AH717" s="127"/>
      <c r="AI717" s="127"/>
      <c r="AJ717" s="127"/>
      <c r="AK717" s="127"/>
      <c r="AL717" s="127"/>
      <c r="AM717" s="127"/>
      <c r="AN717" s="127"/>
      <c r="AO717" s="127"/>
      <c r="AP717" s="127"/>
      <c r="AQ717" s="276"/>
    </row>
    <row r="718" spans="1:43">
      <c r="A718" s="68" t="s">
        <v>599</v>
      </c>
      <c r="B718" s="309">
        <v>1</v>
      </c>
      <c r="C718" s="309">
        <v>1</v>
      </c>
      <c r="D718" s="309">
        <v>0</v>
      </c>
      <c r="E718" s="309">
        <v>0</v>
      </c>
      <c r="F718" s="324">
        <f>SUM(B718:E718)</f>
        <v>2</v>
      </c>
      <c r="G718" s="307"/>
      <c r="H718" s="307"/>
      <c r="I718" s="307"/>
      <c r="J718" s="307"/>
    </row>
    <row r="719" spans="1:43">
      <c r="A719" s="68" t="s">
        <v>601</v>
      </c>
      <c r="B719" s="309">
        <v>1</v>
      </c>
      <c r="C719" s="309">
        <v>1</v>
      </c>
      <c r="D719" s="309">
        <v>0</v>
      </c>
      <c r="E719" s="309">
        <v>0</v>
      </c>
      <c r="F719" s="324">
        <f t="shared" ref="F719:F729" si="76">SUM(B719:E719)</f>
        <v>2</v>
      </c>
      <c r="G719" s="307"/>
      <c r="H719" s="307"/>
      <c r="I719" s="307"/>
      <c r="J719" s="307"/>
    </row>
    <row r="720" spans="1:43" s="56" customFormat="1" ht="15">
      <c r="A720" s="68" t="s">
        <v>602</v>
      </c>
      <c r="B720" s="309">
        <v>0</v>
      </c>
      <c r="C720" s="309">
        <v>0</v>
      </c>
      <c r="D720" s="309">
        <v>0</v>
      </c>
      <c r="E720" s="309">
        <v>0</v>
      </c>
      <c r="F720" s="324">
        <f t="shared" si="76"/>
        <v>0</v>
      </c>
      <c r="G720" s="307"/>
      <c r="H720" s="307"/>
      <c r="I720" s="307"/>
      <c r="J720" s="307"/>
      <c r="K720" s="127"/>
      <c r="L720" s="127"/>
      <c r="M720" s="127"/>
      <c r="N720" s="127"/>
      <c r="O720" s="127"/>
      <c r="P720" s="127"/>
      <c r="Q720" s="127"/>
      <c r="R720" s="127"/>
      <c r="S720" s="127"/>
      <c r="T720" s="127"/>
      <c r="U720" s="127"/>
      <c r="V720" s="127"/>
      <c r="W720" s="127"/>
      <c r="X720" s="127"/>
      <c r="Y720" s="127"/>
      <c r="Z720" s="127"/>
      <c r="AA720" s="127"/>
      <c r="AB720" s="127"/>
      <c r="AC720" s="127"/>
      <c r="AD720" s="127"/>
      <c r="AE720" s="127"/>
      <c r="AF720" s="127"/>
      <c r="AG720" s="276"/>
      <c r="AH720" s="127"/>
      <c r="AI720" s="127"/>
      <c r="AJ720" s="127"/>
      <c r="AK720" s="127"/>
      <c r="AL720" s="127"/>
      <c r="AM720" s="127"/>
      <c r="AN720" s="127"/>
      <c r="AO720" s="127"/>
      <c r="AP720" s="127"/>
      <c r="AQ720" s="276"/>
    </row>
    <row r="721" spans="1:43">
      <c r="A721" s="68" t="s">
        <v>603</v>
      </c>
      <c r="B721" s="309">
        <v>1</v>
      </c>
      <c r="C721" s="309">
        <v>1</v>
      </c>
      <c r="D721" s="309">
        <v>0</v>
      </c>
      <c r="E721" s="309">
        <v>0</v>
      </c>
      <c r="F721" s="324">
        <f t="shared" si="76"/>
        <v>2</v>
      </c>
      <c r="G721" s="307"/>
      <c r="H721" s="307"/>
      <c r="I721" s="307"/>
      <c r="J721" s="307"/>
    </row>
    <row r="722" spans="1:43">
      <c r="A722" s="68" t="s">
        <v>604</v>
      </c>
      <c r="B722" s="309">
        <v>1</v>
      </c>
      <c r="C722" s="309">
        <v>1</v>
      </c>
      <c r="D722" s="309">
        <v>0</v>
      </c>
      <c r="E722" s="309">
        <v>0</v>
      </c>
      <c r="F722" s="324">
        <f t="shared" si="76"/>
        <v>2</v>
      </c>
      <c r="G722" s="307"/>
      <c r="H722" s="307"/>
      <c r="I722" s="307"/>
      <c r="J722" s="307"/>
    </row>
    <row r="723" spans="1:43">
      <c r="A723" s="68" t="s">
        <v>606</v>
      </c>
      <c r="B723" s="309">
        <v>3</v>
      </c>
      <c r="C723" s="309">
        <v>3</v>
      </c>
      <c r="D723" s="309">
        <v>2</v>
      </c>
      <c r="E723" s="309">
        <v>1</v>
      </c>
      <c r="F723" s="324">
        <f t="shared" si="76"/>
        <v>9</v>
      </c>
      <c r="G723" s="307"/>
      <c r="H723" s="307"/>
      <c r="I723" s="307"/>
      <c r="J723" s="307"/>
    </row>
    <row r="724" spans="1:43">
      <c r="A724" s="68" t="s">
        <v>607</v>
      </c>
      <c r="B724" s="309">
        <v>1</v>
      </c>
      <c r="C724" s="309">
        <v>1</v>
      </c>
      <c r="D724" s="309">
        <v>1</v>
      </c>
      <c r="E724" s="309">
        <v>1</v>
      </c>
      <c r="F724" s="324">
        <f t="shared" si="76"/>
        <v>4</v>
      </c>
      <c r="G724" s="307"/>
      <c r="H724" s="307"/>
      <c r="I724" s="307"/>
      <c r="J724" s="307"/>
    </row>
    <row r="725" spans="1:43">
      <c r="A725" s="68" t="s">
        <v>608</v>
      </c>
      <c r="B725" s="309">
        <v>1</v>
      </c>
      <c r="C725" s="309">
        <v>1</v>
      </c>
      <c r="D725" s="309">
        <v>0</v>
      </c>
      <c r="E725" s="309">
        <v>0</v>
      </c>
      <c r="F725" s="324">
        <f t="shared" si="76"/>
        <v>2</v>
      </c>
      <c r="G725" s="307"/>
      <c r="H725" s="307"/>
      <c r="I725" s="307"/>
      <c r="J725" s="307"/>
    </row>
    <row r="726" spans="1:43">
      <c r="A726" s="68" t="s">
        <v>609</v>
      </c>
      <c r="B726" s="309">
        <v>1</v>
      </c>
      <c r="C726" s="309">
        <v>1</v>
      </c>
      <c r="D726" s="309">
        <v>0</v>
      </c>
      <c r="E726" s="309">
        <v>0</v>
      </c>
      <c r="F726" s="324">
        <f t="shared" si="76"/>
        <v>2</v>
      </c>
      <c r="G726" s="307"/>
      <c r="H726" s="307"/>
      <c r="I726" s="307"/>
      <c r="J726" s="307"/>
    </row>
    <row r="727" spans="1:43">
      <c r="A727" s="68" t="s">
        <v>610</v>
      </c>
      <c r="B727" s="309">
        <v>1</v>
      </c>
      <c r="C727" s="309">
        <v>1</v>
      </c>
      <c r="D727" s="309">
        <v>0</v>
      </c>
      <c r="E727" s="309">
        <v>0</v>
      </c>
      <c r="F727" s="324">
        <f t="shared" si="76"/>
        <v>2</v>
      </c>
      <c r="G727" s="307"/>
      <c r="H727" s="307"/>
      <c r="I727" s="307"/>
      <c r="J727" s="307"/>
    </row>
    <row r="728" spans="1:43">
      <c r="A728" s="68" t="s">
        <v>611</v>
      </c>
      <c r="B728" s="309">
        <v>1</v>
      </c>
      <c r="C728" s="309">
        <v>1</v>
      </c>
      <c r="D728" s="309">
        <v>1</v>
      </c>
      <c r="E728" s="309">
        <v>1</v>
      </c>
      <c r="F728" s="324">
        <f t="shared" si="76"/>
        <v>4</v>
      </c>
      <c r="G728" s="307"/>
      <c r="H728" s="307"/>
      <c r="I728" s="307"/>
      <c r="J728" s="307"/>
    </row>
    <row r="729" spans="1:43">
      <c r="A729" s="68" t="s">
        <v>637</v>
      </c>
      <c r="B729" s="309">
        <v>0</v>
      </c>
      <c r="C729" s="309">
        <v>0</v>
      </c>
      <c r="D729" s="309">
        <v>0</v>
      </c>
      <c r="E729" s="309">
        <v>1</v>
      </c>
      <c r="F729" s="324">
        <f t="shared" si="76"/>
        <v>1</v>
      </c>
      <c r="G729" s="307"/>
      <c r="H729" s="307"/>
      <c r="I729" s="307"/>
      <c r="J729" s="307"/>
    </row>
    <row r="730" spans="1:43" ht="13.5" thickBot="1">
      <c r="A730" s="71"/>
      <c r="B730" s="89"/>
      <c r="C730" s="80"/>
      <c r="D730" s="80"/>
      <c r="E730" s="80"/>
      <c r="F730" s="80"/>
      <c r="G730" s="75"/>
      <c r="H730" s="75"/>
      <c r="I730" s="75"/>
      <c r="J730" s="75"/>
    </row>
    <row r="733" spans="1:43" s="56" customFormat="1" ht="15.75" thickBot="1">
      <c r="A733" s="59" t="s">
        <v>612</v>
      </c>
      <c r="B733" s="8"/>
      <c r="C733" s="8"/>
      <c r="D733" s="8"/>
      <c r="E733" s="8"/>
      <c r="F733" s="8"/>
      <c r="G733" s="8"/>
      <c r="H733" s="8"/>
      <c r="I733" s="8"/>
      <c r="J733" s="127"/>
      <c r="K733" s="127"/>
      <c r="L733" s="127"/>
      <c r="M733" s="127"/>
      <c r="N733" s="127"/>
      <c r="O733" s="127"/>
      <c r="P733" s="127"/>
      <c r="Q733" s="127"/>
      <c r="R733" s="127"/>
      <c r="S733" s="127"/>
      <c r="T733" s="127"/>
      <c r="U733" s="127"/>
      <c r="V733" s="127"/>
      <c r="W733" s="127"/>
      <c r="X733" s="127"/>
      <c r="Y733" s="127"/>
      <c r="Z733" s="127"/>
      <c r="AA733" s="127"/>
      <c r="AB733" s="127"/>
      <c r="AC733" s="127"/>
      <c r="AD733" s="127"/>
      <c r="AE733" s="127"/>
      <c r="AF733" s="276"/>
      <c r="AG733" s="127"/>
      <c r="AH733" s="127"/>
      <c r="AI733" s="127"/>
      <c r="AJ733" s="127"/>
      <c r="AK733" s="127"/>
      <c r="AL733" s="127"/>
      <c r="AM733" s="127"/>
      <c r="AN733" s="127"/>
      <c r="AO733" s="127"/>
      <c r="AP733" s="127"/>
      <c r="AQ733" s="276"/>
    </row>
    <row r="734" spans="1:43" s="56" customFormat="1" ht="15.75" thickBot="1">
      <c r="A734" s="769" t="s">
        <v>613</v>
      </c>
      <c r="B734" s="767">
        <f>K737</f>
        <v>0</v>
      </c>
      <c r="C734" s="282" t="s">
        <v>614</v>
      </c>
      <c r="D734" s="275"/>
      <c r="E734" s="127"/>
      <c r="F734" s="127"/>
      <c r="G734" s="276"/>
      <c r="H734" s="127"/>
      <c r="I734" s="127"/>
      <c r="J734" s="281"/>
      <c r="K734" s="281"/>
      <c r="L734" s="281"/>
      <c r="M734" s="281"/>
      <c r="N734" s="281"/>
      <c r="O734" s="281"/>
      <c r="P734" s="281"/>
      <c r="Q734" s="281"/>
      <c r="R734" s="281"/>
      <c r="S734" s="281"/>
      <c r="T734" s="281"/>
      <c r="U734" s="281"/>
      <c r="V734" s="281"/>
      <c r="W734" s="281"/>
      <c r="X734" s="281"/>
      <c r="Y734" s="281"/>
      <c r="Z734" s="281"/>
      <c r="AA734" s="281"/>
      <c r="AB734" s="281"/>
      <c r="AC734" s="281"/>
      <c r="AD734" s="281"/>
      <c r="AE734" s="281"/>
      <c r="AF734" s="276"/>
      <c r="AG734" s="127"/>
      <c r="AH734" s="127"/>
      <c r="AI734" s="127"/>
      <c r="AJ734" s="127"/>
      <c r="AK734" s="127"/>
      <c r="AL734" s="127"/>
      <c r="AM734" s="127"/>
      <c r="AN734" s="127"/>
      <c r="AO734" s="127"/>
      <c r="AP734" s="127"/>
      <c r="AQ734" s="276"/>
    </row>
    <row r="735" spans="1:43" s="56" customFormat="1" ht="15">
      <c r="A735" s="8"/>
      <c r="B735" s="8"/>
      <c r="C735" s="8"/>
      <c r="D735" s="8"/>
      <c r="E735" s="8"/>
      <c r="F735" s="8"/>
      <c r="G735" s="8"/>
      <c r="H735" s="8"/>
      <c r="I735" s="8"/>
      <c r="J735" s="127"/>
      <c r="K735" s="127"/>
      <c r="L735" s="127"/>
      <c r="M735" s="127"/>
      <c r="N735" s="127"/>
      <c r="O735" s="127"/>
      <c r="P735" s="127"/>
      <c r="Q735" s="127"/>
      <c r="R735" s="127"/>
      <c r="S735" s="127"/>
      <c r="T735" s="127"/>
      <c r="U735" s="127"/>
      <c r="V735" s="127"/>
      <c r="W735" s="127"/>
      <c r="X735" s="127"/>
      <c r="Y735" s="127"/>
      <c r="Z735" s="127"/>
      <c r="AA735" s="127"/>
      <c r="AB735" s="127"/>
      <c r="AC735" s="127"/>
      <c r="AD735" s="127"/>
      <c r="AE735" s="127"/>
      <c r="AF735" s="276"/>
      <c r="AG735" s="127"/>
      <c r="AH735" s="127"/>
      <c r="AI735" s="127"/>
      <c r="AJ735" s="127"/>
      <c r="AK735" s="127"/>
      <c r="AL735" s="127"/>
      <c r="AM735" s="127"/>
      <c r="AN735" s="127"/>
      <c r="AO735" s="127"/>
      <c r="AP735" s="127"/>
      <c r="AQ735" s="276"/>
    </row>
    <row r="736" spans="1:43" ht="15.75" thickBot="1">
      <c r="A736" s="59" t="s">
        <v>615</v>
      </c>
    </row>
    <row r="737" spans="1:43" ht="15.75" thickBot="1">
      <c r="A737" s="764" t="str">
        <f>A734</f>
        <v>Hand Rail</v>
      </c>
      <c r="B737" s="765">
        <v>0</v>
      </c>
      <c r="C737" s="765">
        <v>0</v>
      </c>
      <c r="D737" s="765">
        <v>0</v>
      </c>
      <c r="E737" s="765">
        <v>0</v>
      </c>
      <c r="F737" s="765">
        <v>0</v>
      </c>
      <c r="G737" s="91">
        <v>0</v>
      </c>
      <c r="H737" s="765">
        <v>0</v>
      </c>
      <c r="I737" s="765">
        <v>0</v>
      </c>
      <c r="J737" s="765">
        <v>0</v>
      </c>
      <c r="K737" s="282">
        <f>SUM(B737:J737)</f>
        <v>0</v>
      </c>
      <c r="L737" s="306"/>
      <c r="Y737" s="102"/>
    </row>
    <row r="738" spans="1:43" ht="13.5" thickBot="1"/>
    <row r="739" spans="1:43" s="579" customFormat="1" ht="15.75" thickBot="1">
      <c r="A739" s="578" t="s">
        <v>638</v>
      </c>
    </row>
    <row r="741" spans="1:43" ht="15.75" thickBot="1">
      <c r="A741" s="59" t="s">
        <v>526</v>
      </c>
    </row>
    <row r="742" spans="1:43" s="56" customFormat="1" ht="15.75" thickBot="1">
      <c r="A742" s="286" t="s">
        <v>527</v>
      </c>
      <c r="B742" s="287">
        <f>D748-G764</f>
        <v>34.994</v>
      </c>
      <c r="C742" s="282" t="s">
        <v>84</v>
      </c>
      <c r="D742" s="275"/>
      <c r="E742" s="127"/>
      <c r="F742" s="580"/>
      <c r="G742" s="276"/>
      <c r="H742" s="127"/>
      <c r="I742" s="127"/>
      <c r="J742" s="127"/>
      <c r="K742" s="127"/>
      <c r="L742" s="127"/>
      <c r="M742" s="127"/>
      <c r="N742" s="127"/>
      <c r="O742" s="127"/>
      <c r="P742" s="127"/>
      <c r="Q742" s="127"/>
      <c r="R742" s="127"/>
      <c r="S742" s="127"/>
      <c r="T742" s="127"/>
      <c r="U742" s="127"/>
      <c r="V742" s="127"/>
      <c r="W742" s="127"/>
      <c r="X742" s="127"/>
      <c r="Y742" s="127"/>
      <c r="Z742" s="127"/>
      <c r="AA742" s="127"/>
      <c r="AB742" s="127"/>
      <c r="AC742" s="127"/>
      <c r="AD742" s="127"/>
      <c r="AE742" s="127"/>
      <c r="AF742" s="127"/>
      <c r="AG742" s="276"/>
      <c r="AH742" s="127"/>
      <c r="AI742" s="127"/>
      <c r="AJ742" s="127"/>
      <c r="AK742" s="127"/>
      <c r="AL742" s="127"/>
      <c r="AM742" s="127"/>
      <c r="AN742" s="127"/>
      <c r="AO742" s="127"/>
      <c r="AP742" s="127"/>
      <c r="AQ742" s="276"/>
    </row>
    <row r="743" spans="1:43" ht="13.5" thickBot="1"/>
    <row r="744" spans="1:43" ht="13.5" thickBot="1">
      <c r="A744" s="283" t="s">
        <v>382</v>
      </c>
      <c r="B744" s="284" t="s">
        <v>383</v>
      </c>
      <c r="C744" s="284" t="s">
        <v>385</v>
      </c>
      <c r="D744" s="285" t="s">
        <v>408</v>
      </c>
    </row>
    <row r="745" spans="1:43">
      <c r="A745" s="61"/>
      <c r="B745" s="82"/>
      <c r="C745" s="82"/>
      <c r="D745" s="82"/>
    </row>
    <row r="746" spans="1:43" ht="15">
      <c r="A746" s="67" t="s">
        <v>616</v>
      </c>
      <c r="B746" s="78">
        <f>P751</f>
        <v>17.497</v>
      </c>
      <c r="C746" s="78">
        <v>2</v>
      </c>
      <c r="D746" s="79">
        <f>C746*B746</f>
        <v>34.994</v>
      </c>
      <c r="E746" s="75"/>
      <c r="F746" s="75"/>
      <c r="G746" s="75"/>
    </row>
    <row r="747" spans="1:43" ht="15.75" thickBot="1">
      <c r="A747" s="67"/>
      <c r="B747" s="78"/>
      <c r="C747" s="78"/>
      <c r="D747" s="79"/>
    </row>
    <row r="748" spans="1:43" ht="15.75" thickBot="1">
      <c r="A748" s="958" t="s">
        <v>393</v>
      </c>
      <c r="B748" s="959"/>
      <c r="C748" s="960"/>
      <c r="D748" s="77">
        <f>SUM(D745:D747)</f>
        <v>34.994</v>
      </c>
    </row>
    <row r="750" spans="1:43" ht="15.75" thickBot="1">
      <c r="A750" s="59" t="s">
        <v>531</v>
      </c>
    </row>
    <row r="751" spans="1:43" s="56" customFormat="1" ht="17.25" customHeight="1" thickBot="1">
      <c r="A751" s="764" t="str">
        <f>A746</f>
        <v>150mm - 2M wall</v>
      </c>
      <c r="B751" s="765">
        <v>5.8140000000000001</v>
      </c>
      <c r="C751" s="765">
        <v>11.683</v>
      </c>
      <c r="D751" s="765">
        <v>0</v>
      </c>
      <c r="E751" s="765">
        <v>0</v>
      </c>
      <c r="F751" s="765">
        <v>0</v>
      </c>
      <c r="G751" s="765">
        <v>0</v>
      </c>
      <c r="H751" s="765">
        <v>0</v>
      </c>
      <c r="I751" s="765">
        <v>0</v>
      </c>
      <c r="J751" s="765">
        <v>0</v>
      </c>
      <c r="K751" s="765">
        <v>0</v>
      </c>
      <c r="L751" s="765">
        <v>0</v>
      </c>
      <c r="M751" s="765">
        <v>0</v>
      </c>
      <c r="N751" s="765">
        <v>0</v>
      </c>
      <c r="O751" s="765">
        <v>0</v>
      </c>
      <c r="P751" s="282">
        <f>SUM(B751:O751)</f>
        <v>17.497</v>
      </c>
      <c r="Q751" s="127"/>
      <c r="R751" s="127"/>
      <c r="S751" s="127"/>
      <c r="T751" s="127"/>
      <c r="U751" s="127"/>
      <c r="V751" s="127"/>
      <c r="W751" s="127"/>
      <c r="X751" s="127"/>
      <c r="Y751" s="127"/>
      <c r="Z751" s="127"/>
      <c r="AA751" s="127"/>
      <c r="AB751" s="276"/>
      <c r="AC751" s="127"/>
      <c r="AD751" s="127"/>
      <c r="AE751" s="127"/>
      <c r="AF751" s="127"/>
      <c r="AG751" s="276"/>
      <c r="AH751" s="127"/>
      <c r="AI751" s="127"/>
      <c r="AJ751" s="127"/>
      <c r="AK751" s="127"/>
      <c r="AL751" s="127"/>
      <c r="AM751" s="127"/>
      <c r="AN751" s="127"/>
      <c r="AO751" s="127"/>
      <c r="AP751" s="127"/>
      <c r="AQ751" s="276"/>
    </row>
    <row r="753" spans="1:16" ht="15.75" thickBot="1">
      <c r="A753" s="59" t="s">
        <v>447</v>
      </c>
    </row>
    <row r="754" spans="1:16" s="56" customFormat="1" ht="15.75" customHeight="1" thickBot="1">
      <c r="A754" s="310" t="s">
        <v>382</v>
      </c>
      <c r="B754" s="311" t="s">
        <v>82</v>
      </c>
      <c r="C754" s="311" t="s">
        <v>291</v>
      </c>
      <c r="D754" s="311" t="s">
        <v>384</v>
      </c>
      <c r="E754" s="311" t="s">
        <v>385</v>
      </c>
      <c r="F754" s="313" t="s">
        <v>409</v>
      </c>
      <c r="G754" s="314" t="s">
        <v>532</v>
      </c>
      <c r="H754" s="961" t="s">
        <v>533</v>
      </c>
      <c r="I754" s="962"/>
      <c r="J754" s="962"/>
      <c r="K754" s="962"/>
      <c r="L754" s="962"/>
      <c r="M754" s="962"/>
      <c r="N754" s="962"/>
      <c r="O754" s="963"/>
      <c r="P754" s="315" t="s">
        <v>532</v>
      </c>
    </row>
    <row r="755" spans="1:16">
      <c r="A755" s="61"/>
      <c r="B755" s="61"/>
      <c r="C755" s="61"/>
      <c r="D755" s="61"/>
      <c r="E755" s="61"/>
      <c r="F755" s="61"/>
      <c r="G755" s="61"/>
      <c r="N755" s="69"/>
      <c r="O755" s="70"/>
      <c r="P755" s="61"/>
    </row>
    <row r="756" spans="1:16" ht="15">
      <c r="A756" s="62" t="s">
        <v>534</v>
      </c>
      <c r="B756" s="309">
        <v>0</v>
      </c>
      <c r="C756" s="73">
        <v>0</v>
      </c>
      <c r="D756" s="73">
        <v>0</v>
      </c>
      <c r="E756" s="73">
        <v>0</v>
      </c>
      <c r="F756" s="79">
        <f>E756*D756</f>
        <v>0</v>
      </c>
      <c r="G756" s="79">
        <f>F756*C756</f>
        <v>0</v>
      </c>
      <c r="H756" s="102">
        <v>0</v>
      </c>
      <c r="I756" s="102">
        <v>0</v>
      </c>
      <c r="J756" s="102">
        <v>0</v>
      </c>
      <c r="K756" s="75">
        <v>0</v>
      </c>
      <c r="L756" s="75">
        <v>0</v>
      </c>
      <c r="M756" s="75">
        <v>0</v>
      </c>
      <c r="N756" s="75">
        <v>0</v>
      </c>
      <c r="O756" s="766">
        <v>0</v>
      </c>
      <c r="P756" s="79">
        <f>SUM(H756:O756)</f>
        <v>0</v>
      </c>
    </row>
    <row r="757" spans="1:16" ht="15">
      <c r="A757" s="62"/>
      <c r="B757" s="309">
        <v>0</v>
      </c>
      <c r="C757" s="73">
        <v>0</v>
      </c>
      <c r="D757" s="73">
        <v>0</v>
      </c>
      <c r="E757" s="73">
        <v>0</v>
      </c>
      <c r="F757" s="79">
        <f>E757*D757</f>
        <v>0</v>
      </c>
      <c r="G757" s="79">
        <f>F757*C757</f>
        <v>0</v>
      </c>
      <c r="H757" s="102">
        <v>0</v>
      </c>
      <c r="I757" s="102">
        <v>0</v>
      </c>
      <c r="J757" s="102">
        <v>0</v>
      </c>
      <c r="K757" s="75">
        <v>0</v>
      </c>
      <c r="L757" s="75">
        <v>0</v>
      </c>
      <c r="M757" s="75">
        <v>0</v>
      </c>
      <c r="N757" s="75">
        <v>0</v>
      </c>
      <c r="O757" s="766">
        <v>0</v>
      </c>
      <c r="P757" s="79">
        <f>SUM(H757:O757)</f>
        <v>0</v>
      </c>
    </row>
    <row r="758" spans="1:16" ht="15">
      <c r="A758" s="62"/>
      <c r="B758" s="309">
        <v>0</v>
      </c>
      <c r="C758" s="73">
        <v>0</v>
      </c>
      <c r="D758" s="73">
        <v>0</v>
      </c>
      <c r="E758" s="73">
        <v>0</v>
      </c>
      <c r="F758" s="79">
        <f>E758*D758</f>
        <v>0</v>
      </c>
      <c r="G758" s="79">
        <f>F758*C758</f>
        <v>0</v>
      </c>
      <c r="H758" s="102">
        <v>0</v>
      </c>
      <c r="I758" s="102">
        <v>0</v>
      </c>
      <c r="J758" s="102">
        <v>0</v>
      </c>
      <c r="K758" s="75">
        <v>0</v>
      </c>
      <c r="L758" s="75">
        <v>0</v>
      </c>
      <c r="M758" s="75">
        <v>0</v>
      </c>
      <c r="N758" s="75">
        <v>0</v>
      </c>
      <c r="O758" s="766">
        <v>0</v>
      </c>
      <c r="P758" s="79">
        <f>SUM(H758:O758)</f>
        <v>0</v>
      </c>
    </row>
    <row r="759" spans="1:16" ht="15">
      <c r="A759" s="63"/>
      <c r="B759" s="309"/>
      <c r="C759" s="73"/>
      <c r="D759" s="73"/>
      <c r="E759" s="73"/>
      <c r="F759" s="79"/>
      <c r="G759" s="79"/>
      <c r="H759" s="102"/>
      <c r="I759" s="102"/>
      <c r="J759" s="102"/>
      <c r="O759" s="217"/>
      <c r="P759" s="79"/>
    </row>
    <row r="760" spans="1:16" ht="15">
      <c r="A760" s="62" t="s">
        <v>538</v>
      </c>
      <c r="B760" s="309">
        <v>0</v>
      </c>
      <c r="C760" s="73">
        <v>0</v>
      </c>
      <c r="D760" s="73">
        <v>0</v>
      </c>
      <c r="E760" s="73">
        <v>0</v>
      </c>
      <c r="F760" s="79">
        <f t="shared" ref="F760:F762" si="77">E760*D760</f>
        <v>0</v>
      </c>
      <c r="G760" s="79">
        <f t="shared" ref="G760:G762" si="78">F760*C760</f>
        <v>0</v>
      </c>
      <c r="H760" s="102">
        <v>0</v>
      </c>
      <c r="I760" s="75">
        <v>0</v>
      </c>
      <c r="J760" s="75">
        <v>0</v>
      </c>
      <c r="K760" s="75">
        <v>0</v>
      </c>
      <c r="L760" s="75">
        <v>0</v>
      </c>
      <c r="M760" s="75">
        <v>0</v>
      </c>
      <c r="N760" s="75">
        <v>0</v>
      </c>
      <c r="O760" s="766">
        <v>0</v>
      </c>
      <c r="P760" s="79">
        <f t="shared" ref="P760:P762" si="79">SUM(H760:O760)</f>
        <v>0</v>
      </c>
    </row>
    <row r="761" spans="1:16" ht="15">
      <c r="A761" s="598"/>
      <c r="B761" s="309">
        <v>0</v>
      </c>
      <c r="C761" s="73">
        <v>0</v>
      </c>
      <c r="D761" s="73">
        <v>0</v>
      </c>
      <c r="E761" s="73">
        <v>0</v>
      </c>
      <c r="F761" s="79">
        <f t="shared" si="77"/>
        <v>0</v>
      </c>
      <c r="G761" s="79">
        <f t="shared" si="78"/>
        <v>0</v>
      </c>
      <c r="H761" s="102">
        <v>0</v>
      </c>
      <c r="I761" s="75">
        <v>0</v>
      </c>
      <c r="J761" s="75">
        <v>0</v>
      </c>
      <c r="K761" s="75">
        <v>0</v>
      </c>
      <c r="L761" s="75">
        <v>0</v>
      </c>
      <c r="M761" s="75">
        <v>0</v>
      </c>
      <c r="N761" s="75">
        <v>0</v>
      </c>
      <c r="O761" s="766">
        <v>0</v>
      </c>
      <c r="P761" s="79">
        <f t="shared" si="79"/>
        <v>0</v>
      </c>
    </row>
    <row r="762" spans="1:16" ht="15">
      <c r="A762" s="598"/>
      <c r="B762" s="309">
        <v>0</v>
      </c>
      <c r="C762" s="73">
        <v>0</v>
      </c>
      <c r="D762" s="73">
        <v>0</v>
      </c>
      <c r="E762" s="73">
        <v>0</v>
      </c>
      <c r="F762" s="79">
        <f t="shared" si="77"/>
        <v>0</v>
      </c>
      <c r="G762" s="79">
        <f t="shared" si="78"/>
        <v>0</v>
      </c>
      <c r="H762" s="102">
        <v>0</v>
      </c>
      <c r="I762" s="75">
        <v>0</v>
      </c>
      <c r="J762" s="75">
        <v>0</v>
      </c>
      <c r="K762" s="75">
        <v>0</v>
      </c>
      <c r="L762" s="75">
        <v>0</v>
      </c>
      <c r="M762" s="75">
        <v>0</v>
      </c>
      <c r="N762" s="75">
        <v>0</v>
      </c>
      <c r="O762" s="766">
        <v>0</v>
      </c>
      <c r="P762" s="79">
        <f t="shared" si="79"/>
        <v>0</v>
      </c>
    </row>
    <row r="763" spans="1:16" ht="15.75" thickBot="1">
      <c r="B763" s="309"/>
      <c r="C763" s="73"/>
      <c r="D763" s="73"/>
      <c r="E763" s="73"/>
      <c r="F763" s="79"/>
      <c r="G763" s="79"/>
      <c r="N763" s="280"/>
      <c r="O763" s="316"/>
      <c r="P763" s="79"/>
    </row>
    <row r="764" spans="1:16" ht="15.75" thickBot="1">
      <c r="A764" s="65"/>
      <c r="B764" s="955" t="s">
        <v>545</v>
      </c>
      <c r="C764" s="956"/>
      <c r="D764" s="956"/>
      <c r="E764" s="956"/>
      <c r="F764" s="957"/>
      <c r="G764" s="77">
        <f>SUM(G755:G760)</f>
        <v>0</v>
      </c>
      <c r="H764" s="293"/>
      <c r="I764" s="208"/>
      <c r="J764" s="208"/>
      <c r="K764" s="312"/>
      <c r="L764" s="312"/>
      <c r="M764" s="312"/>
      <c r="N764" s="312"/>
      <c r="O764" s="317"/>
      <c r="P764" s="77"/>
    </row>
    <row r="765" spans="1:16" ht="15">
      <c r="H765" s="102"/>
      <c r="I765" s="102"/>
      <c r="J765" s="102"/>
    </row>
    <row r="766" spans="1:16" ht="15.75" thickBot="1">
      <c r="A766" s="59" t="s">
        <v>546</v>
      </c>
    </row>
    <row r="767" spans="1:16" s="56" customFormat="1" ht="15.75" thickBot="1">
      <c r="A767" s="286" t="s">
        <v>547</v>
      </c>
      <c r="B767" s="287">
        <f>D774-H787+J787</f>
        <v>122.12844999999999</v>
      </c>
      <c r="C767" s="282" t="s">
        <v>84</v>
      </c>
      <c r="D767" s="275"/>
      <c r="E767" s="127"/>
      <c r="F767" s="127"/>
      <c r="G767" s="276"/>
      <c r="H767" s="127"/>
      <c r="I767" s="127"/>
      <c r="J767" s="277"/>
    </row>
    <row r="768" spans="1:16" ht="13.5" thickBot="1"/>
    <row r="769" spans="1:43" ht="15.75" thickBot="1">
      <c r="A769" s="283" t="s">
        <v>382</v>
      </c>
      <c r="B769" s="284" t="s">
        <v>383</v>
      </c>
      <c r="C769" s="284" t="s">
        <v>385</v>
      </c>
      <c r="D769" s="285" t="s">
        <v>408</v>
      </c>
      <c r="J769" s="102"/>
    </row>
    <row r="770" spans="1:43" ht="15">
      <c r="A770" s="61"/>
      <c r="B770" s="82"/>
      <c r="C770" s="82"/>
      <c r="D770" s="82"/>
      <c r="J770" s="102"/>
    </row>
    <row r="771" spans="1:43" ht="15">
      <c r="A771" s="67" t="s">
        <v>621</v>
      </c>
      <c r="B771" s="78">
        <f>M777</f>
        <v>17.497</v>
      </c>
      <c r="C771" s="78">
        <v>4.1500000000000004</v>
      </c>
      <c r="D771" s="79">
        <f>C771*B771</f>
        <v>72.612549999999999</v>
      </c>
      <c r="E771" s="75" t="s">
        <v>549</v>
      </c>
      <c r="J771" s="102"/>
    </row>
    <row r="772" spans="1:43" ht="15">
      <c r="A772" s="67" t="s">
        <v>639</v>
      </c>
      <c r="B772" s="78">
        <f>M778</f>
        <v>19.417999999999999</v>
      </c>
      <c r="C772" s="78">
        <v>2.5499999999999998</v>
      </c>
      <c r="D772" s="79">
        <f>C772*B772</f>
        <v>49.515899999999995</v>
      </c>
      <c r="J772" s="102"/>
    </row>
    <row r="773" spans="1:43" s="56" customFormat="1" ht="15.75" thickBot="1">
      <c r="A773" s="67"/>
      <c r="B773" s="78"/>
      <c r="C773" s="78"/>
      <c r="D773" s="79"/>
      <c r="E773" s="8"/>
      <c r="F773" s="8"/>
      <c r="G773" s="8"/>
      <c r="H773" s="8"/>
      <c r="I773" s="8"/>
      <c r="J773" s="127"/>
      <c r="K773" s="127"/>
      <c r="L773" s="127"/>
      <c r="M773" s="127"/>
      <c r="N773" s="127"/>
      <c r="O773" s="127"/>
      <c r="P773" s="127"/>
      <c r="Q773" s="127"/>
      <c r="R773" s="127"/>
      <c r="S773" s="127"/>
      <c r="T773" s="127"/>
      <c r="U773" s="127"/>
      <c r="V773" s="127"/>
      <c r="W773" s="127"/>
      <c r="X773" s="127"/>
      <c r="Y773" s="127"/>
      <c r="Z773" s="127"/>
      <c r="AA773" s="127"/>
      <c r="AB773" s="127"/>
      <c r="AC773" s="127"/>
      <c r="AD773" s="127"/>
      <c r="AE773" s="127"/>
      <c r="AF773" s="127"/>
      <c r="AG773" s="276"/>
      <c r="AH773" s="127"/>
      <c r="AI773" s="127"/>
      <c r="AJ773" s="127"/>
      <c r="AK773" s="127"/>
      <c r="AL773" s="127"/>
      <c r="AM773" s="127"/>
      <c r="AN773" s="127"/>
      <c r="AO773" s="127"/>
      <c r="AP773" s="127"/>
      <c r="AQ773" s="276"/>
    </row>
    <row r="774" spans="1:43" ht="15.75" thickBot="1">
      <c r="A774" s="958" t="s">
        <v>393</v>
      </c>
      <c r="B774" s="959"/>
      <c r="C774" s="960"/>
      <c r="D774" s="77">
        <f>SUM(D770:D773)</f>
        <v>122.12844999999999</v>
      </c>
    </row>
    <row r="776" spans="1:43" ht="15.75" thickBot="1">
      <c r="A776" s="59" t="s">
        <v>551</v>
      </c>
    </row>
    <row r="777" spans="1:43" ht="15.75" thickBot="1">
      <c r="A777" s="764" t="str">
        <f>A771</f>
        <v xml:space="preserve">Outer wal - 2.0m </v>
      </c>
      <c r="B777" s="765">
        <v>11.683</v>
      </c>
      <c r="C777" s="765">
        <v>5.8140000000000001</v>
      </c>
      <c r="D777" s="765">
        <v>0</v>
      </c>
      <c r="E777" s="765">
        <v>0</v>
      </c>
      <c r="F777" s="765">
        <v>0</v>
      </c>
      <c r="G777" s="765">
        <v>0</v>
      </c>
      <c r="H777" s="765">
        <v>0</v>
      </c>
      <c r="I777" s="765">
        <v>0</v>
      </c>
      <c r="J777" s="765">
        <v>0</v>
      </c>
      <c r="K777" s="765">
        <v>0</v>
      </c>
      <c r="L777" s="765">
        <v>0</v>
      </c>
      <c r="M777" s="282">
        <f>SUM(B777:L777)</f>
        <v>17.497</v>
      </c>
    </row>
    <row r="778" spans="1:43" ht="15.75" thickBot="1">
      <c r="A778" s="764" t="str">
        <f>A772</f>
        <v>Outer wall -1.2m</v>
      </c>
      <c r="B778" s="765">
        <v>11.964</v>
      </c>
      <c r="C778" s="765">
        <v>7.4539999999999997</v>
      </c>
      <c r="D778" s="765">
        <v>0</v>
      </c>
      <c r="E778" s="765">
        <v>0</v>
      </c>
      <c r="F778" s="765">
        <v>0</v>
      </c>
      <c r="G778" s="765">
        <v>0</v>
      </c>
      <c r="H778" s="765">
        <v>0</v>
      </c>
      <c r="I778" s="765">
        <v>0</v>
      </c>
      <c r="J778" s="765">
        <v>0</v>
      </c>
      <c r="K778" s="765">
        <v>0</v>
      </c>
      <c r="L778" s="765">
        <v>0</v>
      </c>
      <c r="M778" s="282">
        <f>SUM(B778:L778)</f>
        <v>19.417999999999999</v>
      </c>
    </row>
    <row r="780" spans="1:43" ht="15.75" thickBot="1">
      <c r="A780" s="59" t="s">
        <v>552</v>
      </c>
    </row>
    <row r="781" spans="1:43" ht="15.75" customHeight="1" thickBot="1">
      <c r="A781" s="288" t="s">
        <v>382</v>
      </c>
      <c r="B781" s="289" t="s">
        <v>82</v>
      </c>
      <c r="C781" s="289" t="s">
        <v>291</v>
      </c>
      <c r="D781" s="289" t="s">
        <v>383</v>
      </c>
      <c r="E781" s="289" t="s">
        <v>384</v>
      </c>
      <c r="F781" s="289" t="s">
        <v>409</v>
      </c>
      <c r="G781" s="290" t="s">
        <v>532</v>
      </c>
      <c r="H781" s="291" t="s">
        <v>553</v>
      </c>
      <c r="I781" s="291" t="s">
        <v>554</v>
      </c>
      <c r="J781" s="292" t="s">
        <v>555</v>
      </c>
    </row>
    <row r="782" spans="1:43">
      <c r="A782" s="61"/>
      <c r="B782" s="61"/>
      <c r="C782" s="61"/>
      <c r="D782" s="61"/>
      <c r="E782" s="61"/>
      <c r="F782" s="294"/>
      <c r="G782" s="294"/>
      <c r="H782" s="61"/>
      <c r="I782" s="61"/>
      <c r="J782" s="61"/>
    </row>
    <row r="783" spans="1:43" ht="15">
      <c r="A783" s="62" t="s">
        <v>534</v>
      </c>
      <c r="B783" s="72">
        <f t="shared" ref="B783:E783" si="80">B756</f>
        <v>0</v>
      </c>
      <c r="C783" s="72">
        <f t="shared" si="80"/>
        <v>0</v>
      </c>
      <c r="D783" s="72">
        <f t="shared" si="80"/>
        <v>0</v>
      </c>
      <c r="E783" s="72">
        <f t="shared" si="80"/>
        <v>0</v>
      </c>
      <c r="F783" s="93">
        <f>E783*D783</f>
        <v>0</v>
      </c>
      <c r="G783" s="93">
        <f>F783*C783</f>
        <v>0</v>
      </c>
      <c r="H783" s="78">
        <f>G783</f>
        <v>0</v>
      </c>
      <c r="I783" s="78">
        <f>G783</f>
        <v>0</v>
      </c>
      <c r="J783" s="78">
        <f>(D783+E783+D783+E783)*C783*0.15</f>
        <v>0</v>
      </c>
    </row>
    <row r="784" spans="1:43" ht="15">
      <c r="A784" s="62"/>
      <c r="B784" s="72">
        <f t="shared" ref="B784:E784" si="81">B757</f>
        <v>0</v>
      </c>
      <c r="C784" s="72">
        <f t="shared" si="81"/>
        <v>0</v>
      </c>
      <c r="D784" s="72">
        <f t="shared" si="81"/>
        <v>0</v>
      </c>
      <c r="E784" s="72">
        <f t="shared" si="81"/>
        <v>0</v>
      </c>
      <c r="F784" s="93">
        <f>E784*D784</f>
        <v>0</v>
      </c>
      <c r="G784" s="93">
        <f>F784*C784</f>
        <v>0</v>
      </c>
      <c r="H784" s="78">
        <f>G784</f>
        <v>0</v>
      </c>
      <c r="I784" s="78">
        <f>G784</f>
        <v>0</v>
      </c>
      <c r="J784" s="78">
        <f>(D784+E784+D784+E784)*C784*0.15</f>
        <v>0</v>
      </c>
    </row>
    <row r="785" spans="1:12" ht="15">
      <c r="A785" s="62"/>
      <c r="B785" s="72">
        <f t="shared" ref="B785:E785" si="82">B758</f>
        <v>0</v>
      </c>
      <c r="C785" s="72">
        <f t="shared" si="82"/>
        <v>0</v>
      </c>
      <c r="D785" s="72">
        <f t="shared" si="82"/>
        <v>0</v>
      </c>
      <c r="E785" s="72">
        <f t="shared" si="82"/>
        <v>0</v>
      </c>
      <c r="F785" s="93">
        <f>E785*D785</f>
        <v>0</v>
      </c>
      <c r="G785" s="93">
        <f>F785*C785</f>
        <v>0</v>
      </c>
      <c r="H785" s="78">
        <f>G785</f>
        <v>0</v>
      </c>
      <c r="I785" s="78">
        <f>G785</f>
        <v>0</v>
      </c>
      <c r="J785" s="78">
        <f>(D785+E785+D785+E785)*C785*0.15</f>
        <v>0</v>
      </c>
    </row>
    <row r="786" spans="1:12" ht="15.75" thickBot="1">
      <c r="A786" s="62"/>
      <c r="B786" s="76"/>
      <c r="C786" s="76"/>
      <c r="D786" s="76"/>
      <c r="E786" s="76"/>
      <c r="F786" s="605"/>
      <c r="G786" s="605"/>
      <c r="H786" s="80"/>
      <c r="I786" s="80"/>
      <c r="J786" s="80"/>
    </row>
    <row r="787" spans="1:12" ht="15.75" thickBot="1">
      <c r="A787" s="65"/>
      <c r="B787" s="955" t="s">
        <v>545</v>
      </c>
      <c r="C787" s="956"/>
      <c r="D787" s="956"/>
      <c r="E787" s="956"/>
      <c r="F787" s="957"/>
      <c r="G787" s="293">
        <f>SUM(G782:G783)</f>
        <v>0</v>
      </c>
      <c r="H787" s="293">
        <f>SUM(H782:H783)</f>
        <v>0</v>
      </c>
      <c r="I787" s="293">
        <f>SUM(I782:I783)</f>
        <v>0</v>
      </c>
      <c r="J787" s="77">
        <f>SUM(J782:J783)</f>
        <v>0</v>
      </c>
      <c r="K787" s="75"/>
      <c r="L787" s="75"/>
    </row>
    <row r="788" spans="1:12" ht="15">
      <c r="A788" s="63"/>
      <c r="B788" s="72"/>
      <c r="C788" s="73"/>
      <c r="D788" s="73"/>
      <c r="E788" s="73"/>
      <c r="F788" s="93"/>
      <c r="G788" s="296"/>
      <c r="H788" s="78"/>
      <c r="I788" s="78"/>
      <c r="J788" s="78"/>
    </row>
    <row r="789" spans="1:12" s="56" customFormat="1" ht="15">
      <c r="A789" s="62" t="s">
        <v>538</v>
      </c>
      <c r="B789" s="72">
        <f t="shared" ref="B789:E789" si="83">B760</f>
        <v>0</v>
      </c>
      <c r="C789" s="72">
        <f t="shared" si="83"/>
        <v>0</v>
      </c>
      <c r="D789" s="72">
        <f t="shared" si="83"/>
        <v>0</v>
      </c>
      <c r="E789" s="72">
        <f t="shared" si="83"/>
        <v>0</v>
      </c>
      <c r="F789" s="93">
        <f t="shared" ref="F789:F791" si="84">E789*D789</f>
        <v>0</v>
      </c>
      <c r="G789" s="93">
        <f t="shared" ref="G789:G791" si="85">F789*C789</f>
        <v>0</v>
      </c>
      <c r="H789" s="78">
        <f>G789</f>
        <v>0</v>
      </c>
      <c r="I789" s="78">
        <f>G789</f>
        <v>0</v>
      </c>
      <c r="J789" s="78">
        <f>(D789+E789+D789+E789)*C789*0.15</f>
        <v>0</v>
      </c>
      <c r="K789" s="277"/>
      <c r="L789" s="277"/>
    </row>
    <row r="790" spans="1:12" s="56" customFormat="1" ht="15">
      <c r="A790" s="62"/>
      <c r="B790" s="72">
        <f t="shared" ref="B790:E790" si="86">B761</f>
        <v>0</v>
      </c>
      <c r="C790" s="72">
        <f t="shared" si="86"/>
        <v>0</v>
      </c>
      <c r="D790" s="72">
        <f t="shared" si="86"/>
        <v>0</v>
      </c>
      <c r="E790" s="72">
        <f t="shared" si="86"/>
        <v>0</v>
      </c>
      <c r="F790" s="93">
        <f t="shared" si="84"/>
        <v>0</v>
      </c>
      <c r="G790" s="93">
        <f t="shared" si="85"/>
        <v>0</v>
      </c>
      <c r="H790" s="78">
        <f t="shared" ref="H790:H791" si="87">G790</f>
        <v>0</v>
      </c>
      <c r="I790" s="78">
        <f t="shared" ref="I790:I791" si="88">G790</f>
        <v>0</v>
      </c>
      <c r="J790" s="78">
        <f t="shared" ref="J790:J791" si="89">(D790+E790+D790+E790)*C790*0.15</f>
        <v>0</v>
      </c>
      <c r="K790" s="277"/>
      <c r="L790" s="277"/>
    </row>
    <row r="791" spans="1:12" s="56" customFormat="1" ht="15">
      <c r="A791" s="62"/>
      <c r="B791" s="72">
        <f t="shared" ref="B791:E791" si="90">B762</f>
        <v>0</v>
      </c>
      <c r="C791" s="72">
        <f t="shared" si="90"/>
        <v>0</v>
      </c>
      <c r="D791" s="72">
        <f t="shared" si="90"/>
        <v>0</v>
      </c>
      <c r="E791" s="72">
        <f t="shared" si="90"/>
        <v>0</v>
      </c>
      <c r="F791" s="93">
        <f t="shared" si="84"/>
        <v>0</v>
      </c>
      <c r="G791" s="93">
        <f t="shared" si="85"/>
        <v>0</v>
      </c>
      <c r="H791" s="78">
        <f t="shared" si="87"/>
        <v>0</v>
      </c>
      <c r="I791" s="78">
        <f t="shared" si="88"/>
        <v>0</v>
      </c>
      <c r="J791" s="78">
        <f t="shared" si="89"/>
        <v>0</v>
      </c>
      <c r="K791" s="277"/>
      <c r="L791" s="277"/>
    </row>
    <row r="792" spans="1:12" ht="15.75" thickBot="1">
      <c r="A792" s="63"/>
      <c r="B792" s="72"/>
      <c r="C792" s="73"/>
      <c r="D792" s="73"/>
      <c r="E792" s="73"/>
      <c r="F792" s="93"/>
      <c r="G792" s="296"/>
      <c r="H792" s="78"/>
      <c r="I792" s="78"/>
      <c r="J792" s="78"/>
      <c r="K792" s="75"/>
      <c r="L792" s="75"/>
    </row>
    <row r="793" spans="1:12" ht="15.75" thickBot="1">
      <c r="A793" s="65"/>
      <c r="B793" s="955" t="s">
        <v>545</v>
      </c>
      <c r="C793" s="956"/>
      <c r="D793" s="956"/>
      <c r="E793" s="956"/>
      <c r="F793" s="957"/>
      <c r="G793" s="293">
        <f>SUM(G788:G792)</f>
        <v>0</v>
      </c>
      <c r="H793" s="293">
        <f>SUM(H788:H792)</f>
        <v>0</v>
      </c>
      <c r="I793" s="293">
        <f>SUM(I788:I792)</f>
        <v>0</v>
      </c>
      <c r="J793" s="77">
        <f>SUM(J788:J792)</f>
        <v>0</v>
      </c>
      <c r="K793" s="75"/>
      <c r="L793" s="75"/>
    </row>
    <row r="794" spans="1:12">
      <c r="J794" s="75"/>
      <c r="K794" s="75"/>
      <c r="L794" s="75"/>
    </row>
    <row r="795" spans="1:12" ht="15.75" thickBot="1">
      <c r="A795" s="59" t="s">
        <v>556</v>
      </c>
      <c r="J795" s="75"/>
      <c r="K795" s="75"/>
      <c r="L795" s="75"/>
    </row>
    <row r="796" spans="1:12" ht="15.75" thickBot="1">
      <c r="A796" s="286" t="s">
        <v>557</v>
      </c>
      <c r="B796" s="297">
        <f>D802-I787-H793-I793+J793</f>
        <v>0</v>
      </c>
      <c r="C796" s="282" t="s">
        <v>84</v>
      </c>
      <c r="D796" s="127"/>
      <c r="E796" s="127"/>
      <c r="F796" s="127"/>
      <c r="G796" s="276"/>
      <c r="H796" s="127"/>
      <c r="I796" s="127"/>
      <c r="J796" s="75"/>
      <c r="K796" s="75"/>
      <c r="L796" s="75"/>
    </row>
    <row r="797" spans="1:12" ht="13.5" thickBot="1">
      <c r="J797" s="75"/>
      <c r="K797" s="75"/>
      <c r="L797" s="75"/>
    </row>
    <row r="798" spans="1:12" ht="13.5" thickBot="1">
      <c r="A798" s="283" t="s">
        <v>382</v>
      </c>
      <c r="B798" s="284" t="s">
        <v>383</v>
      </c>
      <c r="C798" s="284" t="s">
        <v>385</v>
      </c>
      <c r="D798" s="285" t="s">
        <v>408</v>
      </c>
      <c r="J798" s="75"/>
      <c r="K798" s="75"/>
      <c r="L798" s="75"/>
    </row>
    <row r="799" spans="1:12">
      <c r="A799" s="61"/>
      <c r="B799" s="82"/>
      <c r="C799" s="82"/>
      <c r="D799" s="82"/>
      <c r="J799" s="75"/>
      <c r="K799" s="75"/>
    </row>
    <row r="800" spans="1:12" ht="15">
      <c r="A800" s="67" t="s">
        <v>558</v>
      </c>
      <c r="B800" s="78">
        <f>P805</f>
        <v>0</v>
      </c>
      <c r="C800" s="78">
        <v>2.85</v>
      </c>
      <c r="D800" s="79">
        <f>C800*B800</f>
        <v>0</v>
      </c>
      <c r="J800" s="102"/>
    </row>
    <row r="801" spans="1:43" ht="13.5" thickBot="1">
      <c r="A801" s="65"/>
      <c r="B801" s="80"/>
      <c r="C801" s="80"/>
      <c r="D801" s="80"/>
    </row>
    <row r="802" spans="1:43" s="56" customFormat="1" ht="15.75" thickBot="1">
      <c r="A802" s="958" t="s">
        <v>393</v>
      </c>
      <c r="B802" s="959"/>
      <c r="C802" s="960"/>
      <c r="D802" s="77">
        <f>SUM(D798:D801)</f>
        <v>0</v>
      </c>
      <c r="E802" s="8"/>
      <c r="F802" s="8"/>
      <c r="G802" s="8"/>
      <c r="H802" s="8"/>
      <c r="I802" s="8"/>
      <c r="J802" s="127"/>
      <c r="K802" s="127"/>
      <c r="L802" s="127"/>
      <c r="M802" s="127"/>
      <c r="N802" s="127"/>
      <c r="O802" s="127"/>
      <c r="P802" s="127"/>
      <c r="Q802" s="127"/>
      <c r="R802" s="127"/>
      <c r="S802" s="127"/>
      <c r="T802" s="127"/>
      <c r="U802" s="127"/>
      <c r="V802" s="127"/>
      <c r="W802" s="127"/>
      <c r="X802" s="127"/>
      <c r="Y802" s="127"/>
      <c r="Z802" s="127"/>
      <c r="AA802" s="127"/>
      <c r="AB802" s="127"/>
      <c r="AC802" s="127"/>
      <c r="AD802" s="127"/>
      <c r="AE802" s="127"/>
      <c r="AF802" s="127"/>
      <c r="AG802" s="276"/>
      <c r="AH802" s="127"/>
      <c r="AI802" s="127"/>
      <c r="AJ802" s="127"/>
      <c r="AK802" s="127"/>
      <c r="AL802" s="127"/>
      <c r="AM802" s="127"/>
      <c r="AN802" s="127"/>
      <c r="AO802" s="127"/>
      <c r="AP802" s="127"/>
      <c r="AQ802" s="276"/>
    </row>
    <row r="804" spans="1:43" ht="15.75" thickBot="1">
      <c r="A804" s="59" t="s">
        <v>551</v>
      </c>
    </row>
    <row r="805" spans="1:43" ht="15.75" thickBot="1">
      <c r="A805" s="764" t="str">
        <f>A800</f>
        <v>Internal Wall</v>
      </c>
      <c r="B805" s="765">
        <v>0</v>
      </c>
      <c r="C805" s="765">
        <v>0</v>
      </c>
      <c r="D805" s="765">
        <v>0</v>
      </c>
      <c r="E805" s="765">
        <v>0</v>
      </c>
      <c r="F805" s="765">
        <v>0</v>
      </c>
      <c r="G805" s="765">
        <v>0</v>
      </c>
      <c r="H805" s="765">
        <v>0</v>
      </c>
      <c r="I805" s="765">
        <v>0</v>
      </c>
      <c r="J805" s="765">
        <v>0</v>
      </c>
      <c r="K805" s="765">
        <v>0</v>
      </c>
      <c r="L805" s="765">
        <v>0</v>
      </c>
      <c r="M805" s="765">
        <v>0</v>
      </c>
      <c r="N805" s="765">
        <v>0</v>
      </c>
      <c r="O805" s="765">
        <v>0</v>
      </c>
      <c r="P805" s="77">
        <f>SUM(B805:O805)</f>
        <v>0</v>
      </c>
    </row>
    <row r="806" spans="1:43" ht="15">
      <c r="J806" s="102"/>
    </row>
    <row r="807" spans="1:43" ht="15.75" thickBot="1">
      <c r="A807" s="59" t="s">
        <v>559</v>
      </c>
      <c r="J807" s="102"/>
      <c r="K807" s="75"/>
    </row>
    <row r="808" spans="1:43" ht="15.75" thickBot="1">
      <c r="A808" s="764" t="s">
        <v>560</v>
      </c>
      <c r="B808" s="767">
        <f>Y812</f>
        <v>65.27</v>
      </c>
      <c r="C808" s="599" t="s">
        <v>84</v>
      </c>
      <c r="D808" s="275"/>
      <c r="E808" s="127"/>
      <c r="F808" s="127"/>
      <c r="G808" s="276"/>
      <c r="H808" s="127"/>
      <c r="I808" s="127"/>
      <c r="J808" s="102"/>
    </row>
    <row r="809" spans="1:43" ht="15.75" thickBot="1">
      <c r="A809" s="764" t="s">
        <v>561</v>
      </c>
      <c r="B809" s="767">
        <f>Y813</f>
        <v>0</v>
      </c>
      <c r="C809" s="599" t="s">
        <v>84</v>
      </c>
      <c r="D809" s="275"/>
      <c r="E809" s="127"/>
      <c r="F809" s="127"/>
      <c r="G809" s="276"/>
      <c r="H809" s="127"/>
      <c r="I809" s="127"/>
      <c r="J809" s="102"/>
    </row>
    <row r="810" spans="1:43" ht="15">
      <c r="J810" s="102"/>
    </row>
    <row r="811" spans="1:43" ht="15.75" thickBot="1">
      <c r="A811" s="59" t="s">
        <v>562</v>
      </c>
      <c r="J811" s="102"/>
    </row>
    <row r="812" spans="1:43" ht="15.75" thickBot="1">
      <c r="A812" s="764" t="s">
        <v>562</v>
      </c>
      <c r="B812" s="765">
        <v>65.27</v>
      </c>
      <c r="C812" s="765">
        <v>0</v>
      </c>
      <c r="D812" s="765">
        <v>0</v>
      </c>
      <c r="E812" s="765">
        <v>0</v>
      </c>
      <c r="F812" s="765">
        <v>0</v>
      </c>
      <c r="G812" s="91">
        <v>0</v>
      </c>
      <c r="H812" s="765">
        <v>0</v>
      </c>
      <c r="I812" s="765">
        <v>0</v>
      </c>
      <c r="J812" s="91">
        <v>0</v>
      </c>
      <c r="K812" s="765">
        <v>0</v>
      </c>
      <c r="L812" s="765">
        <v>0</v>
      </c>
      <c r="M812" s="91">
        <v>0</v>
      </c>
      <c r="N812" s="765">
        <v>0</v>
      </c>
      <c r="O812" s="765">
        <v>0</v>
      </c>
      <c r="P812" s="91">
        <v>0</v>
      </c>
      <c r="Q812" s="765">
        <v>0</v>
      </c>
      <c r="R812" s="765">
        <v>0</v>
      </c>
      <c r="S812" s="91">
        <v>0</v>
      </c>
      <c r="T812" s="765">
        <v>0</v>
      </c>
      <c r="U812" s="765">
        <v>0</v>
      </c>
      <c r="V812" s="91">
        <v>0</v>
      </c>
      <c r="W812" s="765">
        <v>0</v>
      </c>
      <c r="X812" s="765">
        <v>0</v>
      </c>
      <c r="Y812" s="77">
        <f>SUM(B812:X812)</f>
        <v>65.27</v>
      </c>
    </row>
    <row r="813" spans="1:43" ht="15.75" thickBot="1">
      <c r="A813" s="764" t="str">
        <f>A809</f>
        <v>Stair screeding</v>
      </c>
      <c r="B813" s="765">
        <v>0</v>
      </c>
      <c r="C813" s="765">
        <v>0</v>
      </c>
      <c r="D813" s="765">
        <v>0</v>
      </c>
      <c r="E813" s="765">
        <v>0</v>
      </c>
      <c r="F813" s="765">
        <v>0</v>
      </c>
      <c r="G813" s="91">
        <v>0</v>
      </c>
      <c r="H813" s="765">
        <v>0</v>
      </c>
      <c r="I813" s="765">
        <v>0</v>
      </c>
      <c r="J813" s="91">
        <v>0</v>
      </c>
      <c r="K813" s="765">
        <v>0</v>
      </c>
      <c r="L813" s="765">
        <v>0</v>
      </c>
      <c r="M813" s="91">
        <v>0</v>
      </c>
      <c r="N813" s="765">
        <v>0</v>
      </c>
      <c r="O813" s="765">
        <v>0</v>
      </c>
      <c r="P813" s="91">
        <v>0</v>
      </c>
      <c r="Q813" s="765">
        <v>0</v>
      </c>
      <c r="R813" s="765">
        <v>0</v>
      </c>
      <c r="S813" s="91">
        <v>0</v>
      </c>
      <c r="T813" s="765">
        <v>0</v>
      </c>
      <c r="U813" s="765">
        <v>0</v>
      </c>
      <c r="V813" s="91">
        <v>0</v>
      </c>
      <c r="W813" s="765">
        <v>0</v>
      </c>
      <c r="X813" s="765">
        <v>0</v>
      </c>
      <c r="Y813" s="77">
        <f>SUM(B813:X813)</f>
        <v>0</v>
      </c>
    </row>
    <row r="815" spans="1:43" ht="15.75" thickBot="1">
      <c r="A815" s="59" t="s">
        <v>563</v>
      </c>
    </row>
    <row r="816" spans="1:43" ht="15.75" thickBot="1">
      <c r="A816" s="326" t="s">
        <v>564</v>
      </c>
      <c r="B816" s="297">
        <f>B767</f>
        <v>122.12844999999999</v>
      </c>
      <c r="C816" s="599" t="s">
        <v>84</v>
      </c>
    </row>
    <row r="817" spans="1:43" ht="15.75" thickBot="1">
      <c r="A817" s="326" t="s">
        <v>565</v>
      </c>
      <c r="B817" s="297">
        <f>B796</f>
        <v>0</v>
      </c>
      <c r="C817" s="599" t="s">
        <v>84</v>
      </c>
    </row>
    <row r="818" spans="1:43" ht="15.75" thickBot="1">
      <c r="A818" s="326" t="s">
        <v>566</v>
      </c>
      <c r="B818" s="297">
        <f>Y821</f>
        <v>0</v>
      </c>
      <c r="C818" s="599" t="s">
        <v>84</v>
      </c>
    </row>
    <row r="820" spans="1:43" ht="15.75" thickBot="1">
      <c r="A820" s="59" t="s">
        <v>566</v>
      </c>
      <c r="J820" s="102"/>
    </row>
    <row r="821" spans="1:43" ht="15.75" thickBot="1">
      <c r="A821" s="764" t="str">
        <f>A818</f>
        <v>Ceiling Paiting</v>
      </c>
      <c r="B821" s="765">
        <v>0</v>
      </c>
      <c r="C821" s="765">
        <v>0</v>
      </c>
      <c r="D821" s="765">
        <v>0</v>
      </c>
      <c r="E821" s="765">
        <v>0</v>
      </c>
      <c r="F821" s="765">
        <v>0</v>
      </c>
      <c r="G821" s="91">
        <v>0</v>
      </c>
      <c r="H821" s="765">
        <v>0</v>
      </c>
      <c r="I821" s="765">
        <v>0</v>
      </c>
      <c r="J821" s="91">
        <v>0</v>
      </c>
      <c r="K821" s="765">
        <v>0</v>
      </c>
      <c r="L821" s="765">
        <v>0</v>
      </c>
      <c r="M821" s="91">
        <v>0</v>
      </c>
      <c r="N821" s="765">
        <v>0</v>
      </c>
      <c r="O821" s="765">
        <v>0</v>
      </c>
      <c r="P821" s="91">
        <v>0</v>
      </c>
      <c r="Q821" s="765">
        <v>0</v>
      </c>
      <c r="R821" s="765">
        <v>0</v>
      </c>
      <c r="S821" s="91">
        <v>0</v>
      </c>
      <c r="T821" s="765">
        <v>0</v>
      </c>
      <c r="U821" s="765">
        <v>0</v>
      </c>
      <c r="V821" s="91">
        <v>0</v>
      </c>
      <c r="W821" s="765">
        <v>0</v>
      </c>
      <c r="X821" s="765">
        <v>0</v>
      </c>
      <c r="Y821" s="77">
        <f>SUM(B821:X821)</f>
        <v>0</v>
      </c>
    </row>
    <row r="823" spans="1:43" ht="15.75" thickBot="1">
      <c r="A823" s="59" t="s">
        <v>567</v>
      </c>
    </row>
    <row r="824" spans="1:43" ht="13.5" thickBot="1">
      <c r="A824" s="298" t="s">
        <v>568</v>
      </c>
      <c r="B824" s="90">
        <f>F829</f>
        <v>0</v>
      </c>
      <c r="C824" s="600" t="s">
        <v>84</v>
      </c>
    </row>
    <row r="825" spans="1:43" s="56" customFormat="1" ht="15.75" thickBot="1">
      <c r="A825" s="299" t="s">
        <v>382</v>
      </c>
      <c r="B825" s="300" t="s">
        <v>569</v>
      </c>
      <c r="C825" s="300" t="s">
        <v>409</v>
      </c>
      <c r="D825" s="300" t="s">
        <v>570</v>
      </c>
      <c r="E825" s="300" t="s">
        <v>571</v>
      </c>
      <c r="F825" s="301" t="s">
        <v>572</v>
      </c>
      <c r="G825" s="10"/>
      <c r="H825" s="8"/>
      <c r="I825" s="8"/>
      <c r="J825" s="127"/>
      <c r="K825" s="127"/>
      <c r="L825" s="127"/>
      <c r="M825" s="127"/>
      <c r="N825" s="127"/>
      <c r="O825" s="127"/>
      <c r="P825" s="127"/>
      <c r="Q825" s="127"/>
      <c r="R825" s="127"/>
      <c r="S825" s="127"/>
      <c r="T825" s="127"/>
      <c r="U825" s="127"/>
      <c r="V825" s="127"/>
      <c r="W825" s="127"/>
      <c r="X825" s="127"/>
      <c r="Y825" s="127"/>
      <c r="Z825" s="127"/>
      <c r="AA825" s="127"/>
      <c r="AB825" s="127"/>
      <c r="AC825" s="127"/>
      <c r="AD825" s="127"/>
      <c r="AE825" s="127"/>
      <c r="AF825" s="127"/>
      <c r="AG825" s="276"/>
      <c r="AH825" s="127"/>
      <c r="AI825" s="127"/>
      <c r="AJ825" s="127"/>
      <c r="AK825" s="127"/>
      <c r="AL825" s="127"/>
      <c r="AM825" s="127"/>
      <c r="AN825" s="127"/>
      <c r="AO825" s="127"/>
      <c r="AP825" s="127"/>
      <c r="AQ825" s="276"/>
    </row>
    <row r="826" spans="1:43">
      <c r="A826" s="61"/>
      <c r="B826" s="61"/>
      <c r="C826" s="61"/>
      <c r="D826" s="61"/>
      <c r="E826" s="61"/>
      <c r="F826" s="61"/>
    </row>
    <row r="827" spans="1:43" ht="15">
      <c r="A827" s="68" t="s">
        <v>573</v>
      </c>
      <c r="B827" s="64" t="s">
        <v>574</v>
      </c>
      <c r="C827" s="78">
        <f>Q832</f>
        <v>0</v>
      </c>
      <c r="D827" s="78">
        <f>Q833</f>
        <v>0</v>
      </c>
      <c r="E827" s="78">
        <f>0.1*D827</f>
        <v>0</v>
      </c>
      <c r="F827" s="79">
        <f>E827+C827</f>
        <v>0</v>
      </c>
      <c r="G827" s="60"/>
    </row>
    <row r="828" spans="1:43" s="56" customFormat="1" ht="15.75" thickBot="1">
      <c r="A828" s="68"/>
      <c r="B828" s="64"/>
      <c r="C828" s="78"/>
      <c r="D828" s="78"/>
      <c r="E828" s="78"/>
      <c r="F828" s="79"/>
      <c r="G828" s="60"/>
      <c r="H828" s="8"/>
      <c r="I828" s="8"/>
      <c r="J828" s="127"/>
      <c r="K828" s="127"/>
      <c r="L828" s="127"/>
      <c r="M828" s="127"/>
      <c r="N828" s="127"/>
      <c r="O828" s="127"/>
      <c r="P828" s="127"/>
      <c r="Q828" s="127"/>
      <c r="R828" s="127"/>
      <c r="S828" s="127"/>
      <c r="T828" s="127"/>
      <c r="U828" s="127"/>
      <c r="V828" s="127"/>
      <c r="W828" s="127"/>
      <c r="X828" s="127"/>
      <c r="Y828" s="127"/>
      <c r="Z828" s="127"/>
      <c r="AA828" s="127"/>
      <c r="AB828" s="127"/>
      <c r="AC828" s="127"/>
      <c r="AD828" s="127"/>
      <c r="AE828" s="127"/>
      <c r="AF828" s="127"/>
      <c r="AG828" s="276"/>
      <c r="AH828" s="127"/>
      <c r="AI828" s="127"/>
      <c r="AJ828" s="127"/>
      <c r="AK828" s="127"/>
      <c r="AL828" s="127"/>
      <c r="AM828" s="127"/>
      <c r="AN828" s="127"/>
      <c r="AO828" s="127"/>
      <c r="AP828" s="127"/>
      <c r="AQ828" s="276"/>
    </row>
    <row r="829" spans="1:43" ht="13.5" thickBot="1">
      <c r="A829" s="964" t="s">
        <v>393</v>
      </c>
      <c r="B829" s="965"/>
      <c r="C829" s="965"/>
      <c r="D829" s="965"/>
      <c r="E829" s="966"/>
      <c r="F829" s="111">
        <f>SUM(F827:F828)</f>
        <v>0</v>
      </c>
    </row>
    <row r="831" spans="1:43" ht="15.75" thickBot="1">
      <c r="A831" s="59" t="s">
        <v>575</v>
      </c>
    </row>
    <row r="832" spans="1:43" ht="15">
      <c r="A832" s="764" t="s">
        <v>576</v>
      </c>
      <c r="B832" s="765">
        <v>0</v>
      </c>
      <c r="C832" s="765">
        <v>0</v>
      </c>
      <c r="D832" s="765">
        <v>0</v>
      </c>
      <c r="E832" s="765">
        <v>0</v>
      </c>
      <c r="F832" s="765">
        <v>0</v>
      </c>
      <c r="G832" s="765">
        <v>0</v>
      </c>
      <c r="H832" s="765">
        <v>0</v>
      </c>
      <c r="I832" s="765">
        <v>0</v>
      </c>
      <c r="J832" s="765">
        <v>0</v>
      </c>
      <c r="K832" s="765">
        <v>0</v>
      </c>
      <c r="L832" s="765">
        <v>0</v>
      </c>
      <c r="M832" s="765">
        <v>0</v>
      </c>
      <c r="N832" s="765">
        <v>0</v>
      </c>
      <c r="O832" s="765">
        <v>0</v>
      </c>
      <c r="P832" s="765">
        <v>0</v>
      </c>
      <c r="Q832" s="302">
        <f>SUM(B832:P832)</f>
        <v>0</v>
      </c>
    </row>
    <row r="833" spans="1:43" ht="15.75" thickBot="1">
      <c r="A833" s="764" t="s">
        <v>570</v>
      </c>
      <c r="B833" s="765">
        <v>0</v>
      </c>
      <c r="C833" s="765">
        <v>0</v>
      </c>
      <c r="D833" s="765">
        <v>0</v>
      </c>
      <c r="E833" s="765">
        <v>0</v>
      </c>
      <c r="F833" s="765">
        <v>0</v>
      </c>
      <c r="G833" s="765">
        <v>0</v>
      </c>
      <c r="H833" s="765">
        <v>0</v>
      </c>
      <c r="I833" s="765">
        <v>0</v>
      </c>
      <c r="J833" s="765">
        <v>0</v>
      </c>
      <c r="K833" s="765">
        <v>0</v>
      </c>
      <c r="L833" s="765">
        <v>0</v>
      </c>
      <c r="M833" s="765">
        <v>0</v>
      </c>
      <c r="N833" s="765">
        <v>0</v>
      </c>
      <c r="O833" s="765">
        <v>0</v>
      </c>
      <c r="P833" s="765">
        <v>0</v>
      </c>
      <c r="Q833" s="303">
        <f>SUM(B833:P833)</f>
        <v>0</v>
      </c>
    </row>
    <row r="834" spans="1:43" ht="13.5" thickBot="1"/>
    <row r="835" spans="1:43" ht="13.5" thickBot="1">
      <c r="A835" s="298" t="s">
        <v>632</v>
      </c>
      <c r="B835" s="90">
        <f>F840</f>
        <v>65.27</v>
      </c>
      <c r="C835" s="600" t="s">
        <v>84</v>
      </c>
    </row>
    <row r="836" spans="1:43" s="56" customFormat="1" ht="15.75" thickBot="1">
      <c r="A836" s="299" t="s">
        <v>382</v>
      </c>
      <c r="B836" s="300" t="s">
        <v>569</v>
      </c>
      <c r="C836" s="300" t="s">
        <v>409</v>
      </c>
      <c r="D836" s="300" t="s">
        <v>570</v>
      </c>
      <c r="E836" s="300" t="s">
        <v>571</v>
      </c>
      <c r="F836" s="301" t="s">
        <v>572</v>
      </c>
      <c r="G836" s="10"/>
      <c r="H836" s="8"/>
      <c r="I836" s="8"/>
      <c r="J836" s="127"/>
      <c r="K836" s="127"/>
      <c r="L836" s="127"/>
      <c r="M836" s="127"/>
      <c r="N836" s="127"/>
      <c r="O836" s="127"/>
      <c r="P836" s="127"/>
      <c r="Q836" s="127"/>
      <c r="R836" s="127"/>
      <c r="S836" s="127"/>
      <c r="T836" s="127"/>
      <c r="U836" s="127"/>
      <c r="V836" s="127"/>
      <c r="W836" s="127"/>
      <c r="X836" s="127"/>
      <c r="Y836" s="127"/>
      <c r="Z836" s="127"/>
      <c r="AA836" s="127"/>
      <c r="AB836" s="127"/>
      <c r="AC836" s="127"/>
      <c r="AD836" s="127"/>
      <c r="AE836" s="127"/>
      <c r="AF836" s="127"/>
      <c r="AG836" s="276"/>
      <c r="AH836" s="127"/>
      <c r="AI836" s="127"/>
      <c r="AJ836" s="127"/>
      <c r="AK836" s="127"/>
      <c r="AL836" s="127"/>
      <c r="AM836" s="127"/>
      <c r="AN836" s="127"/>
      <c r="AO836" s="127"/>
      <c r="AP836" s="127"/>
      <c r="AQ836" s="276"/>
    </row>
    <row r="837" spans="1:43">
      <c r="A837" s="61"/>
      <c r="B837" s="61"/>
      <c r="C837" s="61"/>
      <c r="D837" s="61"/>
      <c r="E837" s="61"/>
      <c r="F837" s="61"/>
    </row>
    <row r="838" spans="1:43" ht="15">
      <c r="A838" s="68" t="s">
        <v>573</v>
      </c>
      <c r="B838" s="64" t="s">
        <v>574</v>
      </c>
      <c r="C838" s="78">
        <f>Q843</f>
        <v>65.27</v>
      </c>
      <c r="D838" s="78">
        <f>Q844</f>
        <v>0</v>
      </c>
      <c r="E838" s="78">
        <f>0.1*D838</f>
        <v>0</v>
      </c>
      <c r="F838" s="79">
        <f>E838+C838</f>
        <v>65.27</v>
      </c>
      <c r="G838" s="60"/>
    </row>
    <row r="839" spans="1:43" s="56" customFormat="1" ht="15.75" thickBot="1">
      <c r="A839" s="68"/>
      <c r="B839" s="64"/>
      <c r="C839" s="78"/>
      <c r="D839" s="78"/>
      <c r="E839" s="78"/>
      <c r="F839" s="79"/>
      <c r="G839" s="60"/>
      <c r="H839" s="8"/>
      <c r="I839" s="8"/>
      <c r="J839" s="127"/>
      <c r="K839" s="127"/>
      <c r="L839" s="127"/>
      <c r="M839" s="127"/>
      <c r="N839" s="127"/>
      <c r="O839" s="127"/>
      <c r="P839" s="127"/>
      <c r="Q839" s="127"/>
      <c r="R839" s="127"/>
      <c r="S839" s="127"/>
      <c r="T839" s="127"/>
      <c r="U839" s="127"/>
      <c r="V839" s="127"/>
      <c r="W839" s="127"/>
      <c r="X839" s="127"/>
      <c r="Y839" s="127"/>
      <c r="Z839" s="127"/>
      <c r="AA839" s="127"/>
      <c r="AB839" s="127"/>
      <c r="AC839" s="127"/>
      <c r="AD839" s="127"/>
      <c r="AE839" s="127"/>
      <c r="AF839" s="127"/>
      <c r="AG839" s="276"/>
      <c r="AH839" s="127"/>
      <c r="AI839" s="127"/>
      <c r="AJ839" s="127"/>
      <c r="AK839" s="127"/>
      <c r="AL839" s="127"/>
      <c r="AM839" s="127"/>
      <c r="AN839" s="127"/>
      <c r="AO839" s="127"/>
      <c r="AP839" s="127"/>
      <c r="AQ839" s="276"/>
    </row>
    <row r="840" spans="1:43" ht="13.5" thickBot="1">
      <c r="A840" s="964" t="s">
        <v>393</v>
      </c>
      <c r="B840" s="965"/>
      <c r="C840" s="965"/>
      <c r="D840" s="965"/>
      <c r="E840" s="966"/>
      <c r="F840" s="111">
        <f>SUM(F838:F839)</f>
        <v>65.27</v>
      </c>
    </row>
    <row r="842" spans="1:43" ht="15.75" thickBot="1">
      <c r="A842" s="59" t="s">
        <v>575</v>
      </c>
    </row>
    <row r="843" spans="1:43" ht="15">
      <c r="A843" s="764" t="s">
        <v>576</v>
      </c>
      <c r="B843" s="765">
        <v>65.27</v>
      </c>
      <c r="C843" s="765">
        <v>0</v>
      </c>
      <c r="D843" s="765">
        <v>0</v>
      </c>
      <c r="E843" s="765">
        <v>0</v>
      </c>
      <c r="F843" s="765">
        <v>0</v>
      </c>
      <c r="G843" s="765">
        <v>0</v>
      </c>
      <c r="H843" s="765">
        <v>0</v>
      </c>
      <c r="I843" s="765">
        <v>0</v>
      </c>
      <c r="J843" s="765">
        <v>0</v>
      </c>
      <c r="K843" s="765">
        <v>0</v>
      </c>
      <c r="L843" s="765">
        <v>0</v>
      </c>
      <c r="M843" s="765">
        <v>0</v>
      </c>
      <c r="N843" s="765">
        <v>0</v>
      </c>
      <c r="O843" s="765">
        <v>0</v>
      </c>
      <c r="P843" s="765">
        <v>0</v>
      </c>
      <c r="Q843" s="302">
        <f>SUM(B843:P843)</f>
        <v>65.27</v>
      </c>
    </row>
    <row r="844" spans="1:43" ht="15.75" thickBot="1">
      <c r="A844" s="764" t="s">
        <v>570</v>
      </c>
      <c r="B844" s="765">
        <v>0</v>
      </c>
      <c r="C844" s="765">
        <v>0</v>
      </c>
      <c r="D844" s="765">
        <v>0</v>
      </c>
      <c r="E844" s="765">
        <v>0</v>
      </c>
      <c r="F844" s="765">
        <v>0</v>
      </c>
      <c r="G844" s="765">
        <v>0</v>
      </c>
      <c r="H844" s="765">
        <v>0</v>
      </c>
      <c r="I844" s="765">
        <v>0</v>
      </c>
      <c r="J844" s="765">
        <v>0</v>
      </c>
      <c r="K844" s="765">
        <v>0</v>
      </c>
      <c r="L844" s="765">
        <v>0</v>
      </c>
      <c r="M844" s="765">
        <v>0</v>
      </c>
      <c r="N844" s="765">
        <v>0</v>
      </c>
      <c r="O844" s="765">
        <v>0</v>
      </c>
      <c r="P844" s="765">
        <v>0</v>
      </c>
      <c r="Q844" s="303">
        <f>SUM(B844:P844)</f>
        <v>0</v>
      </c>
    </row>
    <row r="845" spans="1:43" ht="13.5" thickBot="1"/>
    <row r="846" spans="1:43" ht="13.5" thickBot="1">
      <c r="A846" s="298" t="s">
        <v>577</v>
      </c>
      <c r="B846" s="90">
        <f>D851</f>
        <v>0</v>
      </c>
      <c r="C846" s="83" t="s">
        <v>84</v>
      </c>
    </row>
    <row r="847" spans="1:43" ht="13.5" thickBot="1">
      <c r="A847" s="283" t="s">
        <v>382</v>
      </c>
      <c r="B847" s="284" t="s">
        <v>569</v>
      </c>
      <c r="C847" s="284" t="s">
        <v>409</v>
      </c>
      <c r="D847" s="285" t="s">
        <v>572</v>
      </c>
      <c r="E847" s="10"/>
    </row>
    <row r="848" spans="1:43" ht="15">
      <c r="A848" s="84" t="s">
        <v>578</v>
      </c>
      <c r="B848" s="66" t="s">
        <v>579</v>
      </c>
      <c r="C848" s="82">
        <f>K854</f>
        <v>0</v>
      </c>
      <c r="D848" s="88">
        <f>C848</f>
        <v>0</v>
      </c>
      <c r="E848" s="60"/>
    </row>
    <row r="849" spans="1:43" ht="15">
      <c r="A849" s="68"/>
      <c r="B849" s="85"/>
      <c r="C849" s="78"/>
      <c r="D849" s="79"/>
      <c r="E849" s="60"/>
    </row>
    <row r="850" spans="1:43" ht="15.75" thickBot="1">
      <c r="A850" s="68"/>
      <c r="B850" s="85"/>
      <c r="C850" s="78"/>
      <c r="D850" s="79"/>
      <c r="E850" s="60"/>
    </row>
    <row r="851" spans="1:43" ht="13.5" thickBot="1">
      <c r="A851" s="967" t="s">
        <v>393</v>
      </c>
      <c r="B851" s="959"/>
      <c r="C851" s="960"/>
      <c r="D851" s="111">
        <f>SUM(D848:D850)</f>
        <v>0</v>
      </c>
    </row>
    <row r="852" spans="1:43" s="56" customFormat="1" ht="15">
      <c r="A852" s="8"/>
      <c r="B852" s="8"/>
      <c r="C852" s="8"/>
      <c r="D852" s="8"/>
      <c r="E852" s="8"/>
      <c r="F852" s="8"/>
      <c r="G852" s="8"/>
      <c r="H852" s="8"/>
      <c r="I852" s="8"/>
      <c r="AH852" s="127"/>
      <c r="AI852" s="127"/>
      <c r="AJ852" s="127"/>
      <c r="AK852" s="127"/>
      <c r="AL852" s="127"/>
      <c r="AM852" s="127"/>
      <c r="AN852" s="127"/>
      <c r="AO852" s="127"/>
      <c r="AP852" s="127"/>
      <c r="AQ852" s="276"/>
    </row>
    <row r="853" spans="1:43" ht="15.75" thickBot="1">
      <c r="A853" s="59" t="s">
        <v>575</v>
      </c>
    </row>
    <row r="854" spans="1:43" ht="15.75" thickBot="1">
      <c r="A854" s="764" t="s">
        <v>576</v>
      </c>
      <c r="B854" s="765">
        <v>0</v>
      </c>
      <c r="C854" s="765">
        <v>0</v>
      </c>
      <c r="D854" s="765">
        <v>0</v>
      </c>
      <c r="E854" s="765">
        <v>0</v>
      </c>
      <c r="F854" s="765">
        <v>0</v>
      </c>
      <c r="G854" s="765">
        <v>0</v>
      </c>
      <c r="H854" s="765">
        <v>0</v>
      </c>
      <c r="I854" s="765">
        <v>0</v>
      </c>
      <c r="J854" s="765">
        <v>0</v>
      </c>
      <c r="K854" s="282">
        <f>SUM(B854:J854)</f>
        <v>0</v>
      </c>
      <c r="L854" s="278"/>
      <c r="M854" s="127"/>
      <c r="N854" s="127"/>
      <c r="O854" s="127"/>
      <c r="P854" s="127"/>
      <c r="Q854" s="127"/>
      <c r="R854" s="127"/>
      <c r="S854" s="127"/>
      <c r="T854" s="127"/>
      <c r="U854" s="127"/>
      <c r="V854" s="127"/>
      <c r="W854" s="127"/>
      <c r="X854" s="127"/>
      <c r="Y854" s="127"/>
      <c r="Z854" s="127"/>
      <c r="AA854" s="127"/>
      <c r="AB854" s="127"/>
      <c r="AC854" s="127"/>
      <c r="AD854" s="127"/>
      <c r="AE854" s="127"/>
      <c r="AF854" s="127"/>
    </row>
    <row r="856" spans="1:43" ht="13.5" thickBot="1"/>
    <row r="857" spans="1:43" ht="13.5" thickBot="1">
      <c r="A857" s="304" t="s">
        <v>580</v>
      </c>
      <c r="B857" s="86">
        <f>E863</f>
        <v>0</v>
      </c>
      <c r="C857" s="87" t="s">
        <v>84</v>
      </c>
    </row>
    <row r="858" spans="1:43" ht="13.5" thickBot="1">
      <c r="A858" s="283" t="s">
        <v>382</v>
      </c>
      <c r="B858" s="284" t="s">
        <v>569</v>
      </c>
      <c r="C858" s="305" t="s">
        <v>383</v>
      </c>
      <c r="D858" s="305" t="s">
        <v>385</v>
      </c>
      <c r="E858" s="285" t="s">
        <v>572</v>
      </c>
    </row>
    <row r="859" spans="1:43" ht="15">
      <c r="A859" s="84" t="s">
        <v>581</v>
      </c>
      <c r="B859" s="66" t="s">
        <v>582</v>
      </c>
      <c r="C859" s="82">
        <f>K866</f>
        <v>0</v>
      </c>
      <c r="D859" s="88">
        <v>2.5</v>
      </c>
      <c r="E859" s="88">
        <f>D859*C859</f>
        <v>0</v>
      </c>
    </row>
    <row r="860" spans="1:43" ht="15">
      <c r="A860" s="68"/>
      <c r="B860" s="85"/>
      <c r="C860" s="78"/>
      <c r="D860" s="79"/>
      <c r="E860" s="79"/>
    </row>
    <row r="861" spans="1:43" s="56" customFormat="1" ht="15">
      <c r="A861" s="279" t="s">
        <v>583</v>
      </c>
      <c r="B861" s="85"/>
      <c r="C861" s="78">
        <v>0</v>
      </c>
      <c r="D861" s="79">
        <v>0</v>
      </c>
      <c r="E861" s="79">
        <f>K867</f>
        <v>0</v>
      </c>
      <c r="F861" s="8"/>
      <c r="G861" s="8"/>
      <c r="H861" s="8"/>
      <c r="I861" s="8"/>
      <c r="AH861" s="127"/>
      <c r="AI861" s="127"/>
      <c r="AJ861" s="127"/>
      <c r="AK861" s="127"/>
      <c r="AL861" s="127"/>
      <c r="AM861" s="127"/>
      <c r="AN861" s="127"/>
      <c r="AO861" s="127"/>
      <c r="AP861" s="127"/>
      <c r="AQ861" s="276"/>
    </row>
    <row r="862" spans="1:43" ht="15.75" thickBot="1">
      <c r="A862" s="68"/>
      <c r="B862" s="85"/>
      <c r="C862" s="78"/>
      <c r="D862" s="79"/>
      <c r="E862" s="79"/>
    </row>
    <row r="863" spans="1:43" ht="13.5" thickBot="1">
      <c r="A863" s="967" t="s">
        <v>393</v>
      </c>
      <c r="B863" s="959"/>
      <c r="C863" s="959"/>
      <c r="D863" s="960"/>
      <c r="E863" s="111">
        <f>E859-E861</f>
        <v>0</v>
      </c>
    </row>
    <row r="865" spans="1:32" ht="15.75" thickBot="1">
      <c r="A865" s="59" t="s">
        <v>584</v>
      </c>
    </row>
    <row r="866" spans="1:32" ht="15.75" thickBot="1">
      <c r="A866" s="764" t="s">
        <v>383</v>
      </c>
      <c r="B866" s="765">
        <v>0</v>
      </c>
      <c r="C866" s="765">
        <v>0</v>
      </c>
      <c r="D866" s="765">
        <v>0</v>
      </c>
      <c r="E866" s="765">
        <v>0</v>
      </c>
      <c r="F866" s="765">
        <v>0</v>
      </c>
      <c r="G866" s="765">
        <v>0</v>
      </c>
      <c r="H866" s="765">
        <v>0</v>
      </c>
      <c r="I866" s="765">
        <v>0</v>
      </c>
      <c r="J866" s="765">
        <v>0</v>
      </c>
      <c r="K866" s="282">
        <f>SUM(B866:J866)</f>
        <v>0</v>
      </c>
      <c r="L866" s="278"/>
      <c r="M866" s="127"/>
      <c r="N866" s="127"/>
      <c r="O866" s="127"/>
      <c r="P866" s="127"/>
      <c r="Q866" s="127"/>
      <c r="R866" s="127"/>
      <c r="S866" s="127"/>
      <c r="T866" s="127"/>
      <c r="U866" s="127"/>
      <c r="V866" s="127"/>
      <c r="W866" s="127"/>
      <c r="X866" s="127"/>
      <c r="Y866" s="127"/>
      <c r="Z866" s="127"/>
      <c r="AA866" s="127"/>
      <c r="AB866" s="127"/>
      <c r="AC866" s="127"/>
      <c r="AD866" s="127"/>
      <c r="AE866" s="127"/>
      <c r="AF866" s="127"/>
    </row>
    <row r="867" spans="1:32" ht="15.75" thickBot="1">
      <c r="A867" s="764" t="s">
        <v>447</v>
      </c>
      <c r="B867" s="768">
        <v>0</v>
      </c>
      <c r="C867" s="768">
        <v>0</v>
      </c>
      <c r="D867" s="768">
        <v>0</v>
      </c>
      <c r="E867" s="768">
        <v>0</v>
      </c>
      <c r="F867" s="768">
        <v>0</v>
      </c>
      <c r="G867" s="768">
        <v>0</v>
      </c>
      <c r="H867" s="768">
        <v>0</v>
      </c>
      <c r="I867" s="768">
        <v>0</v>
      </c>
      <c r="J867" s="765">
        <v>0</v>
      </c>
      <c r="K867" s="282">
        <f>SUM(B867:J867)</f>
        <v>0</v>
      </c>
      <c r="L867" s="278"/>
      <c r="M867" s="127"/>
      <c r="N867" s="127"/>
      <c r="O867" s="127"/>
      <c r="P867" s="127"/>
      <c r="Q867" s="127"/>
      <c r="R867" s="127"/>
      <c r="S867" s="127"/>
      <c r="T867" s="127"/>
      <c r="U867" s="127"/>
      <c r="V867" s="127"/>
      <c r="W867" s="127"/>
      <c r="X867" s="127"/>
      <c r="Y867" s="127"/>
      <c r="Z867" s="127"/>
      <c r="AA867" s="127"/>
      <c r="AB867" s="127"/>
      <c r="AC867" s="127"/>
      <c r="AD867" s="127"/>
      <c r="AE867" s="127"/>
      <c r="AF867" s="127"/>
    </row>
    <row r="869" spans="1:32" ht="13.5" thickBot="1"/>
    <row r="870" spans="1:32" ht="13.5" thickBot="1">
      <c r="A870" s="304" t="s">
        <v>585</v>
      </c>
      <c r="B870" s="325">
        <f>E876</f>
        <v>0</v>
      </c>
      <c r="C870" s="87" t="s">
        <v>84</v>
      </c>
    </row>
    <row r="871" spans="1:32" ht="13.5" thickBot="1">
      <c r="A871" s="283" t="s">
        <v>382</v>
      </c>
      <c r="B871" s="305" t="s">
        <v>291</v>
      </c>
      <c r="C871" s="305" t="s">
        <v>383</v>
      </c>
      <c r="D871" s="305" t="s">
        <v>385</v>
      </c>
      <c r="E871" s="285" t="s">
        <v>572</v>
      </c>
    </row>
    <row r="872" spans="1:32" ht="15">
      <c r="A872" s="84" t="s">
        <v>586</v>
      </c>
      <c r="B872" s="66">
        <v>0</v>
      </c>
      <c r="C872" s="82">
        <v>0</v>
      </c>
      <c r="D872" s="601">
        <v>0</v>
      </c>
      <c r="E872" s="88">
        <f>B872*C872*D872</f>
        <v>0</v>
      </c>
    </row>
    <row r="873" spans="1:32" ht="15">
      <c r="A873" s="68" t="s">
        <v>587</v>
      </c>
      <c r="B873" s="85">
        <v>0</v>
      </c>
      <c r="C873" s="78">
        <v>0</v>
      </c>
      <c r="D873" s="602">
        <v>0</v>
      </c>
      <c r="E873" s="79">
        <f>D873*C873*B873</f>
        <v>0</v>
      </c>
    </row>
    <row r="874" spans="1:32" ht="15">
      <c r="A874" s="68" t="s">
        <v>588</v>
      </c>
      <c r="B874" s="85">
        <v>1</v>
      </c>
      <c r="C874" s="78">
        <f>K879</f>
        <v>0</v>
      </c>
      <c r="D874" s="602">
        <v>0</v>
      </c>
      <c r="E874" s="79">
        <f>D874*C874*B874</f>
        <v>0</v>
      </c>
    </row>
    <row r="875" spans="1:32" ht="15.75" thickBot="1">
      <c r="A875" s="68"/>
      <c r="B875" s="85"/>
      <c r="C875" s="78"/>
      <c r="D875" s="79"/>
      <c r="E875" s="79"/>
    </row>
    <row r="876" spans="1:32" ht="13.5" thickBot="1">
      <c r="A876" s="967" t="s">
        <v>393</v>
      </c>
      <c r="B876" s="959"/>
      <c r="C876" s="959"/>
      <c r="D876" s="960"/>
      <c r="E876" s="111">
        <f>SUM(E872:E875)</f>
        <v>0</v>
      </c>
    </row>
    <row r="878" spans="1:32" ht="15.75" thickBot="1">
      <c r="A878" s="59" t="s">
        <v>113</v>
      </c>
    </row>
    <row r="879" spans="1:32" ht="15.75" thickBot="1">
      <c r="A879" s="769" t="s">
        <v>588</v>
      </c>
      <c r="B879" s="765">
        <v>0</v>
      </c>
      <c r="C879" s="765">
        <v>0</v>
      </c>
      <c r="D879" s="765">
        <v>0</v>
      </c>
      <c r="E879" s="765">
        <v>0</v>
      </c>
      <c r="F879" s="765">
        <v>0</v>
      </c>
      <c r="G879" s="765">
        <v>0</v>
      </c>
      <c r="H879" s="765">
        <v>0</v>
      </c>
      <c r="I879" s="765">
        <v>0</v>
      </c>
      <c r="J879" s="765">
        <v>0</v>
      </c>
      <c r="K879" s="282">
        <f>SUM(B879:J879)</f>
        <v>0</v>
      </c>
      <c r="L879" s="278"/>
      <c r="M879" s="127"/>
      <c r="N879" s="127"/>
      <c r="O879" s="127"/>
      <c r="P879" s="127"/>
      <c r="Q879" s="127"/>
      <c r="R879" s="127"/>
      <c r="S879" s="127"/>
      <c r="T879" s="127"/>
      <c r="U879" s="127"/>
      <c r="V879" s="127"/>
      <c r="W879" s="127"/>
      <c r="X879" s="127"/>
      <c r="Y879" s="127"/>
      <c r="Z879" s="127"/>
      <c r="AA879" s="127"/>
      <c r="AB879" s="127"/>
      <c r="AC879" s="127"/>
      <c r="AD879" s="127"/>
      <c r="AE879" s="127"/>
      <c r="AF879" s="127"/>
    </row>
    <row r="880" spans="1:32" ht="15.75" customHeight="1" thickBot="1"/>
    <row r="881" spans="1:43" ht="13.5" thickBot="1">
      <c r="A881" s="304" t="s">
        <v>589</v>
      </c>
      <c r="B881" s="325">
        <v>0</v>
      </c>
      <c r="C881" s="87" t="s">
        <v>84</v>
      </c>
    </row>
    <row r="882" spans="1:43" ht="13.5" thickBot="1">
      <c r="A882" s="283" t="s">
        <v>382</v>
      </c>
      <c r="B882" s="305" t="s">
        <v>291</v>
      </c>
      <c r="C882" s="305" t="s">
        <v>383</v>
      </c>
      <c r="D882" s="305" t="s">
        <v>385</v>
      </c>
      <c r="E882" s="285" t="s">
        <v>572</v>
      </c>
    </row>
    <row r="883" spans="1:43" ht="15">
      <c r="A883" s="84" t="s">
        <v>590</v>
      </c>
      <c r="B883" s="66">
        <v>0</v>
      </c>
      <c r="C883" s="82">
        <v>0</v>
      </c>
      <c r="D883" s="88">
        <v>0</v>
      </c>
      <c r="E883" s="79">
        <f>D883*C883*B883</f>
        <v>0</v>
      </c>
    </row>
    <row r="884" spans="1:43" ht="15">
      <c r="A884" s="68" t="s">
        <v>591</v>
      </c>
      <c r="B884" s="85">
        <v>0</v>
      </c>
      <c r="C884" s="78">
        <v>0</v>
      </c>
      <c r="D884" s="79">
        <v>0</v>
      </c>
      <c r="E884" s="79">
        <f>D884*C884*B884</f>
        <v>0</v>
      </c>
    </row>
    <row r="885" spans="1:43" ht="15">
      <c r="A885" s="68" t="s">
        <v>592</v>
      </c>
      <c r="B885" s="85">
        <v>0</v>
      </c>
      <c r="C885" s="78">
        <v>0</v>
      </c>
      <c r="D885" s="79">
        <v>0</v>
      </c>
      <c r="E885" s="79">
        <f>D885*C885*B885</f>
        <v>0</v>
      </c>
    </row>
    <row r="886" spans="1:43" ht="15.75" thickBot="1">
      <c r="A886" s="68"/>
      <c r="B886" s="85">
        <v>0</v>
      </c>
      <c r="C886" s="78"/>
      <c r="D886" s="79"/>
      <c r="E886" s="79"/>
    </row>
    <row r="887" spans="1:43" ht="13.5" thickBot="1">
      <c r="A887" s="967" t="s">
        <v>393</v>
      </c>
      <c r="B887" s="959"/>
      <c r="C887" s="959"/>
      <c r="D887" s="960"/>
      <c r="E887" s="111">
        <f>SUM(E883:E886)</f>
        <v>0</v>
      </c>
    </row>
    <row r="890" spans="1:43" s="56" customFormat="1" ht="15.75" thickBot="1">
      <c r="A890" s="59" t="s">
        <v>593</v>
      </c>
      <c r="B890" s="8"/>
      <c r="C890" s="8"/>
      <c r="D890" s="8"/>
      <c r="E890" s="8"/>
      <c r="F890" s="8"/>
      <c r="G890" s="8"/>
      <c r="H890" s="8"/>
      <c r="I890" s="8"/>
      <c r="J890" s="127"/>
      <c r="K890" s="127"/>
      <c r="L890" s="127"/>
      <c r="M890" s="127"/>
      <c r="N890" s="127"/>
      <c r="O890" s="127"/>
      <c r="P890" s="127"/>
      <c r="Q890" s="127"/>
      <c r="R890" s="127"/>
      <c r="S890" s="127"/>
      <c r="T890" s="127"/>
      <c r="U890" s="127"/>
      <c r="V890" s="127"/>
      <c r="W890" s="127"/>
      <c r="X890" s="127"/>
      <c r="Y890" s="127"/>
      <c r="Z890" s="127"/>
      <c r="AA890" s="127"/>
      <c r="AB890" s="127"/>
      <c r="AC890" s="127"/>
      <c r="AD890" s="127"/>
      <c r="AE890" s="127"/>
      <c r="AF890" s="276"/>
      <c r="AG890" s="127"/>
      <c r="AH890" s="127"/>
      <c r="AI890" s="127"/>
      <c r="AJ890" s="127"/>
      <c r="AK890" s="127"/>
      <c r="AL890" s="127"/>
      <c r="AM890" s="127"/>
      <c r="AN890" s="127"/>
      <c r="AO890" s="127"/>
      <c r="AP890" s="127"/>
      <c r="AQ890" s="276"/>
    </row>
    <row r="891" spans="1:43" s="56" customFormat="1" ht="15.75" thickBot="1">
      <c r="A891" s="764" t="s">
        <v>594</v>
      </c>
      <c r="B891" s="767">
        <f>K894</f>
        <v>0</v>
      </c>
      <c r="C891" s="282" t="s">
        <v>84</v>
      </c>
      <c r="D891" s="275" t="s">
        <v>595</v>
      </c>
      <c r="E891" s="127"/>
      <c r="F891" s="127"/>
      <c r="G891" s="276"/>
      <c r="H891" s="127"/>
      <c r="I891" s="127"/>
      <c r="J891" s="281"/>
      <c r="K891" s="281"/>
      <c r="L891" s="281"/>
      <c r="M891" s="281"/>
      <c r="N891" s="281"/>
      <c r="O891" s="281"/>
      <c r="P891" s="281"/>
      <c r="Q891" s="281"/>
      <c r="R891" s="281"/>
      <c r="S891" s="281"/>
      <c r="T891" s="281"/>
      <c r="U891" s="281"/>
      <c r="V891" s="281"/>
      <c r="W891" s="281"/>
      <c r="X891" s="281"/>
      <c r="Y891" s="281"/>
      <c r="Z891" s="281"/>
      <c r="AA891" s="281"/>
      <c r="AB891" s="281"/>
      <c r="AC891" s="281"/>
      <c r="AD891" s="281"/>
      <c r="AE891" s="281"/>
      <c r="AF891" s="276"/>
      <c r="AG891" s="127"/>
      <c r="AH891" s="127"/>
      <c r="AI891" s="127"/>
      <c r="AJ891" s="127"/>
      <c r="AK891" s="127"/>
      <c r="AL891" s="127"/>
      <c r="AM891" s="127"/>
      <c r="AN891" s="127"/>
      <c r="AO891" s="127"/>
      <c r="AP891" s="127"/>
      <c r="AQ891" s="276"/>
    </row>
    <row r="892" spans="1:43" s="56" customFormat="1" ht="15">
      <c r="A892" s="8"/>
      <c r="B892" s="8"/>
      <c r="C892" s="8"/>
      <c r="D892" s="8"/>
      <c r="E892" s="8"/>
      <c r="F892" s="8"/>
      <c r="G892" s="8"/>
      <c r="H892" s="8"/>
      <c r="I892" s="8"/>
      <c r="J892" s="127"/>
      <c r="K892" s="127"/>
      <c r="L892" s="127"/>
      <c r="M892" s="127"/>
      <c r="N892" s="127"/>
      <c r="O892" s="127"/>
      <c r="P892" s="127"/>
      <c r="Q892" s="127"/>
      <c r="R892" s="127"/>
      <c r="S892" s="127"/>
      <c r="T892" s="127"/>
      <c r="U892" s="127"/>
      <c r="V892" s="127"/>
      <c r="W892" s="127"/>
      <c r="X892" s="127"/>
      <c r="Y892" s="127"/>
      <c r="Z892" s="127"/>
      <c r="AA892" s="127"/>
      <c r="AB892" s="127"/>
      <c r="AC892" s="127"/>
      <c r="AD892" s="127"/>
      <c r="AE892" s="127"/>
      <c r="AF892" s="276"/>
      <c r="AG892" s="127"/>
      <c r="AH892" s="127"/>
      <c r="AI892" s="127"/>
      <c r="AJ892" s="127"/>
      <c r="AK892" s="127"/>
      <c r="AL892" s="127"/>
      <c r="AM892" s="127"/>
      <c r="AN892" s="127"/>
      <c r="AO892" s="127"/>
      <c r="AP892" s="127"/>
      <c r="AQ892" s="276"/>
    </row>
    <row r="893" spans="1:43" ht="15.75" thickBot="1">
      <c r="A893" s="59" t="s">
        <v>409</v>
      </c>
    </row>
    <row r="894" spans="1:43" ht="15.75" thickBot="1">
      <c r="A894" s="764" t="str">
        <f>A891</f>
        <v>Gypsum ceiling</v>
      </c>
      <c r="B894" s="765">
        <v>0</v>
      </c>
      <c r="C894" s="765">
        <v>0</v>
      </c>
      <c r="D894" s="765">
        <v>0</v>
      </c>
      <c r="E894" s="765">
        <v>0</v>
      </c>
      <c r="F894" s="765">
        <v>0</v>
      </c>
      <c r="G894" s="91">
        <v>0</v>
      </c>
      <c r="H894" s="765">
        <v>0</v>
      </c>
      <c r="I894" s="765">
        <v>0</v>
      </c>
      <c r="J894" s="765">
        <v>0</v>
      </c>
      <c r="K894" s="282">
        <f>SUM(B894:J894)</f>
        <v>0</v>
      </c>
      <c r="L894" s="306"/>
      <c r="Y894" s="102"/>
    </row>
    <row r="896" spans="1:43" ht="13.5" thickBot="1"/>
    <row r="897" spans="1:43" ht="13.5" thickBot="1">
      <c r="A897" s="304" t="s">
        <v>596</v>
      </c>
      <c r="B897" s="86"/>
      <c r="C897" s="87"/>
    </row>
    <row r="898" spans="1:43" ht="13.5" thickBot="1">
      <c r="A898" s="283" t="s">
        <v>382</v>
      </c>
      <c r="B898" s="305" t="s">
        <v>633</v>
      </c>
      <c r="C898" s="305" t="s">
        <v>634</v>
      </c>
      <c r="D898" s="305" t="s">
        <v>635</v>
      </c>
      <c r="E898" s="305" t="s">
        <v>636</v>
      </c>
      <c r="F898" s="308" t="s">
        <v>572</v>
      </c>
      <c r="G898" s="18"/>
      <c r="H898" s="18"/>
      <c r="I898" s="18"/>
      <c r="J898" s="18"/>
    </row>
    <row r="899" spans="1:43" s="56" customFormat="1" ht="15">
      <c r="A899" s="84"/>
      <c r="B899" s="66"/>
      <c r="C899" s="82"/>
      <c r="D899" s="82"/>
      <c r="E899" s="82"/>
      <c r="F899" s="82"/>
      <c r="G899" s="75"/>
      <c r="H899" s="75"/>
      <c r="I899" s="75"/>
      <c r="J899" s="75"/>
      <c r="K899" s="127"/>
      <c r="L899" s="127"/>
      <c r="M899" s="127"/>
      <c r="N899" s="127"/>
      <c r="O899" s="127"/>
      <c r="P899" s="127"/>
      <c r="Q899" s="127"/>
      <c r="R899" s="127"/>
      <c r="S899" s="127"/>
      <c r="T899" s="127"/>
      <c r="U899" s="127"/>
      <c r="V899" s="127"/>
      <c r="W899" s="127"/>
      <c r="X899" s="127"/>
      <c r="Y899" s="127"/>
      <c r="Z899" s="127"/>
      <c r="AA899" s="127"/>
      <c r="AB899" s="127"/>
      <c r="AC899" s="127"/>
      <c r="AD899" s="127"/>
      <c r="AE899" s="127"/>
      <c r="AF899" s="127"/>
      <c r="AG899" s="276"/>
      <c r="AH899" s="127"/>
      <c r="AI899" s="127"/>
      <c r="AJ899" s="127"/>
      <c r="AK899" s="127"/>
      <c r="AL899" s="127"/>
      <c r="AM899" s="127"/>
      <c r="AN899" s="127"/>
      <c r="AO899" s="127"/>
      <c r="AP899" s="127"/>
      <c r="AQ899" s="276"/>
    </row>
    <row r="900" spans="1:43">
      <c r="A900" s="68" t="s">
        <v>599</v>
      </c>
      <c r="B900" s="309">
        <v>0</v>
      </c>
      <c r="C900" s="309">
        <v>0</v>
      </c>
      <c r="D900" s="309">
        <v>0</v>
      </c>
      <c r="E900" s="309">
        <v>0</v>
      </c>
      <c r="F900" s="324">
        <f>SUM(B900:E900)</f>
        <v>0</v>
      </c>
      <c r="G900" s="307"/>
      <c r="H900" s="307"/>
      <c r="I900" s="307"/>
      <c r="J900" s="307"/>
    </row>
    <row r="901" spans="1:43">
      <c r="A901" s="68" t="s">
        <v>601</v>
      </c>
      <c r="B901" s="309">
        <v>0</v>
      </c>
      <c r="C901" s="309">
        <v>0</v>
      </c>
      <c r="D901" s="309">
        <v>0</v>
      </c>
      <c r="E901" s="309">
        <v>0</v>
      </c>
      <c r="F901" s="324">
        <f t="shared" ref="F901:F911" si="91">SUM(B901:E901)</f>
        <v>0</v>
      </c>
      <c r="G901" s="307"/>
      <c r="H901" s="307"/>
      <c r="I901" s="307"/>
      <c r="J901" s="307"/>
    </row>
    <row r="902" spans="1:43" s="56" customFormat="1" ht="15">
      <c r="A902" s="68" t="s">
        <v>602</v>
      </c>
      <c r="B902" s="309">
        <v>0</v>
      </c>
      <c r="C902" s="309">
        <v>0</v>
      </c>
      <c r="D902" s="309">
        <v>0</v>
      </c>
      <c r="E902" s="309">
        <v>0</v>
      </c>
      <c r="F902" s="324">
        <f t="shared" si="91"/>
        <v>0</v>
      </c>
      <c r="G902" s="307"/>
      <c r="H902" s="307"/>
      <c r="I902" s="307"/>
      <c r="J902" s="307"/>
      <c r="K902" s="127"/>
      <c r="L902" s="127"/>
      <c r="M902" s="127"/>
      <c r="N902" s="127"/>
      <c r="O902" s="127"/>
      <c r="P902" s="127"/>
      <c r="Q902" s="127"/>
      <c r="R902" s="127"/>
      <c r="S902" s="127"/>
      <c r="T902" s="127"/>
      <c r="U902" s="127"/>
      <c r="V902" s="127"/>
      <c r="W902" s="127"/>
      <c r="X902" s="127"/>
      <c r="Y902" s="127"/>
      <c r="Z902" s="127"/>
      <c r="AA902" s="127"/>
      <c r="AB902" s="127"/>
      <c r="AC902" s="127"/>
      <c r="AD902" s="127"/>
      <c r="AE902" s="127"/>
      <c r="AF902" s="127"/>
      <c r="AG902" s="276"/>
      <c r="AH902" s="127"/>
      <c r="AI902" s="127"/>
      <c r="AJ902" s="127"/>
      <c r="AK902" s="127"/>
      <c r="AL902" s="127"/>
      <c r="AM902" s="127"/>
      <c r="AN902" s="127"/>
      <c r="AO902" s="127"/>
      <c r="AP902" s="127"/>
      <c r="AQ902" s="276"/>
    </row>
    <row r="903" spans="1:43">
      <c r="A903" s="68" t="s">
        <v>603</v>
      </c>
      <c r="B903" s="309">
        <v>0</v>
      </c>
      <c r="C903" s="309">
        <v>0</v>
      </c>
      <c r="D903" s="309">
        <v>0</v>
      </c>
      <c r="E903" s="309">
        <v>0</v>
      </c>
      <c r="F903" s="324">
        <f t="shared" si="91"/>
        <v>0</v>
      </c>
      <c r="G903" s="307"/>
      <c r="H903" s="307"/>
      <c r="I903" s="307"/>
      <c r="J903" s="307"/>
    </row>
    <row r="904" spans="1:43">
      <c r="A904" s="68" t="s">
        <v>604</v>
      </c>
      <c r="B904" s="309">
        <v>0</v>
      </c>
      <c r="C904" s="309">
        <v>0</v>
      </c>
      <c r="D904" s="309">
        <v>0</v>
      </c>
      <c r="E904" s="309">
        <v>0</v>
      </c>
      <c r="F904" s="324">
        <f t="shared" si="91"/>
        <v>0</v>
      </c>
      <c r="G904" s="307"/>
      <c r="H904" s="307"/>
      <c r="I904" s="307"/>
      <c r="J904" s="307"/>
    </row>
    <row r="905" spans="1:43">
      <c r="A905" s="68" t="s">
        <v>606</v>
      </c>
      <c r="B905" s="309">
        <v>0</v>
      </c>
      <c r="C905" s="309">
        <v>0</v>
      </c>
      <c r="D905" s="309">
        <v>0</v>
      </c>
      <c r="E905" s="309">
        <v>0</v>
      </c>
      <c r="F905" s="324">
        <f t="shared" si="91"/>
        <v>0</v>
      </c>
      <c r="G905" s="307"/>
      <c r="H905" s="307"/>
      <c r="I905" s="307"/>
      <c r="J905" s="307"/>
    </row>
    <row r="906" spans="1:43">
      <c r="A906" s="68" t="s">
        <v>607</v>
      </c>
      <c r="B906" s="309">
        <v>0</v>
      </c>
      <c r="C906" s="309">
        <v>0</v>
      </c>
      <c r="D906" s="309">
        <v>0</v>
      </c>
      <c r="E906" s="309">
        <v>0</v>
      </c>
      <c r="F906" s="324">
        <f t="shared" si="91"/>
        <v>0</v>
      </c>
      <c r="G906" s="307"/>
      <c r="H906" s="307"/>
      <c r="I906" s="307"/>
      <c r="J906" s="307"/>
    </row>
    <row r="907" spans="1:43">
      <c r="A907" s="68" t="s">
        <v>608</v>
      </c>
      <c r="B907" s="309">
        <v>0</v>
      </c>
      <c r="C907" s="309">
        <v>0</v>
      </c>
      <c r="D907" s="309">
        <v>0</v>
      </c>
      <c r="E907" s="309">
        <v>0</v>
      </c>
      <c r="F907" s="324">
        <f t="shared" si="91"/>
        <v>0</v>
      </c>
      <c r="G907" s="307"/>
      <c r="H907" s="307"/>
      <c r="I907" s="307"/>
      <c r="J907" s="307"/>
    </row>
    <row r="908" spans="1:43">
      <c r="A908" s="68" t="s">
        <v>609</v>
      </c>
      <c r="B908" s="309">
        <v>0</v>
      </c>
      <c r="C908" s="309">
        <v>0</v>
      </c>
      <c r="D908" s="309">
        <v>0</v>
      </c>
      <c r="E908" s="309">
        <v>0</v>
      </c>
      <c r="F908" s="324">
        <f t="shared" si="91"/>
        <v>0</v>
      </c>
      <c r="G908" s="307"/>
      <c r="H908" s="307"/>
      <c r="I908" s="307"/>
      <c r="J908" s="307"/>
    </row>
    <row r="909" spans="1:43">
      <c r="A909" s="68" t="s">
        <v>610</v>
      </c>
      <c r="B909" s="309">
        <v>0</v>
      </c>
      <c r="C909" s="309">
        <v>0</v>
      </c>
      <c r="D909" s="309">
        <v>0</v>
      </c>
      <c r="E909" s="309">
        <v>0</v>
      </c>
      <c r="F909" s="324">
        <f t="shared" si="91"/>
        <v>0</v>
      </c>
      <c r="G909" s="307"/>
      <c r="H909" s="307"/>
      <c r="I909" s="307"/>
      <c r="J909" s="307"/>
    </row>
    <row r="910" spans="1:43">
      <c r="A910" s="68" t="s">
        <v>611</v>
      </c>
      <c r="B910" s="309">
        <v>0</v>
      </c>
      <c r="C910" s="309">
        <v>0</v>
      </c>
      <c r="D910" s="309">
        <v>0</v>
      </c>
      <c r="E910" s="309">
        <v>0</v>
      </c>
      <c r="F910" s="324">
        <f t="shared" si="91"/>
        <v>0</v>
      </c>
      <c r="G910" s="307"/>
      <c r="H910" s="307"/>
      <c r="I910" s="307"/>
      <c r="J910" s="307"/>
    </row>
    <row r="911" spans="1:43">
      <c r="A911" s="68" t="s">
        <v>637</v>
      </c>
      <c r="B911" s="309">
        <v>0</v>
      </c>
      <c r="C911" s="309">
        <v>0</v>
      </c>
      <c r="D911" s="309">
        <v>0</v>
      </c>
      <c r="E911" s="309">
        <v>0</v>
      </c>
      <c r="F911" s="324">
        <f t="shared" si="91"/>
        <v>0</v>
      </c>
      <c r="G911" s="307"/>
      <c r="H911" s="307"/>
      <c r="I911" s="307"/>
      <c r="J911" s="307"/>
    </row>
    <row r="912" spans="1:43" ht="13.5" thickBot="1">
      <c r="A912" s="71"/>
      <c r="B912" s="89"/>
      <c r="C912" s="80"/>
      <c r="D912" s="80"/>
      <c r="E912" s="80"/>
      <c r="F912" s="80"/>
      <c r="G912" s="75"/>
      <c r="H912" s="75"/>
      <c r="I912" s="75"/>
      <c r="J912" s="75"/>
    </row>
    <row r="915" spans="1:43" s="56" customFormat="1" ht="15.75" thickBot="1">
      <c r="A915" s="59" t="s">
        <v>612</v>
      </c>
      <c r="B915" s="8"/>
      <c r="C915" s="8"/>
      <c r="D915" s="8"/>
      <c r="E915" s="8"/>
      <c r="F915" s="8"/>
      <c r="G915" s="8"/>
      <c r="H915" s="8"/>
      <c r="I915" s="8"/>
      <c r="J915" s="127"/>
      <c r="K915" s="127"/>
      <c r="L915" s="127"/>
      <c r="M915" s="127"/>
      <c r="N915" s="127"/>
      <c r="O915" s="127"/>
      <c r="P915" s="127"/>
      <c r="Q915" s="127"/>
      <c r="R915" s="127"/>
      <c r="S915" s="127"/>
      <c r="T915" s="127"/>
      <c r="U915" s="127"/>
      <c r="V915" s="127"/>
      <c r="W915" s="127"/>
      <c r="X915" s="127"/>
      <c r="Y915" s="127"/>
      <c r="Z915" s="127"/>
      <c r="AA915" s="127"/>
      <c r="AB915" s="127"/>
      <c r="AC915" s="127"/>
      <c r="AD915" s="127"/>
      <c r="AE915" s="127"/>
      <c r="AF915" s="276"/>
      <c r="AG915" s="127"/>
      <c r="AH915" s="127"/>
      <c r="AI915" s="127"/>
      <c r="AJ915" s="127"/>
      <c r="AK915" s="127"/>
      <c r="AL915" s="127"/>
      <c r="AM915" s="127"/>
      <c r="AN915" s="127"/>
      <c r="AO915" s="127"/>
      <c r="AP915" s="127"/>
      <c r="AQ915" s="276"/>
    </row>
    <row r="916" spans="1:43" s="56" customFormat="1" ht="15.75" thickBot="1">
      <c r="A916" s="769" t="s">
        <v>613</v>
      </c>
      <c r="B916" s="767">
        <f>K919</f>
        <v>0</v>
      </c>
      <c r="C916" s="282" t="s">
        <v>614</v>
      </c>
      <c r="D916" s="275"/>
      <c r="E916" s="127"/>
      <c r="F916" s="127"/>
      <c r="G916" s="276"/>
      <c r="H916" s="127"/>
      <c r="I916" s="127"/>
      <c r="J916" s="281"/>
      <c r="K916" s="281"/>
      <c r="L916" s="281"/>
      <c r="M916" s="281"/>
      <c r="N916" s="281"/>
      <c r="O916" s="281"/>
      <c r="P916" s="281"/>
      <c r="Q916" s="281"/>
      <c r="R916" s="281"/>
      <c r="S916" s="281"/>
      <c r="T916" s="281"/>
      <c r="U916" s="281"/>
      <c r="V916" s="281"/>
      <c r="W916" s="281"/>
      <c r="X916" s="281"/>
      <c r="Y916" s="281"/>
      <c r="Z916" s="281"/>
      <c r="AA916" s="281"/>
      <c r="AB916" s="281"/>
      <c r="AC916" s="281"/>
      <c r="AD916" s="281"/>
      <c r="AE916" s="281"/>
      <c r="AF916" s="276"/>
      <c r="AG916" s="127"/>
      <c r="AH916" s="127"/>
      <c r="AI916" s="127"/>
      <c r="AJ916" s="127"/>
      <c r="AK916" s="127"/>
      <c r="AL916" s="127"/>
      <c r="AM916" s="127"/>
      <c r="AN916" s="127"/>
      <c r="AO916" s="127"/>
      <c r="AP916" s="127"/>
      <c r="AQ916" s="276"/>
    </row>
    <row r="917" spans="1:43" s="56" customFormat="1" ht="15">
      <c r="A917" s="8"/>
      <c r="B917" s="8"/>
      <c r="C917" s="8"/>
      <c r="D917" s="8"/>
      <c r="E917" s="8"/>
      <c r="F917" s="8"/>
      <c r="G917" s="8"/>
      <c r="H917" s="8"/>
      <c r="I917" s="8"/>
      <c r="J917" s="127"/>
      <c r="K917" s="127"/>
      <c r="L917" s="127"/>
      <c r="M917" s="127"/>
      <c r="N917" s="127"/>
      <c r="O917" s="127"/>
      <c r="P917" s="127"/>
      <c r="Q917" s="127"/>
      <c r="R917" s="127"/>
      <c r="S917" s="127"/>
      <c r="T917" s="127"/>
      <c r="U917" s="127"/>
      <c r="V917" s="127"/>
      <c r="W917" s="127"/>
      <c r="X917" s="127"/>
      <c r="Y917" s="127"/>
      <c r="Z917" s="127"/>
      <c r="AA917" s="127"/>
      <c r="AB917" s="127"/>
      <c r="AC917" s="127"/>
      <c r="AD917" s="127"/>
      <c r="AE917" s="127"/>
      <c r="AF917" s="276"/>
      <c r="AG917" s="127"/>
      <c r="AH917" s="127"/>
      <c r="AI917" s="127"/>
      <c r="AJ917" s="127"/>
      <c r="AK917" s="127"/>
      <c r="AL917" s="127"/>
      <c r="AM917" s="127"/>
      <c r="AN917" s="127"/>
      <c r="AO917" s="127"/>
      <c r="AP917" s="127"/>
      <c r="AQ917" s="276"/>
    </row>
    <row r="918" spans="1:43" ht="15.75" thickBot="1">
      <c r="A918" s="59" t="s">
        <v>615</v>
      </c>
    </row>
    <row r="919" spans="1:43" ht="15.75" thickBot="1">
      <c r="A919" s="764" t="str">
        <f>A916</f>
        <v>Hand Rail</v>
      </c>
      <c r="B919" s="765">
        <v>0</v>
      </c>
      <c r="C919" s="765">
        <v>0</v>
      </c>
      <c r="D919" s="765">
        <v>0</v>
      </c>
      <c r="E919" s="765">
        <v>0</v>
      </c>
      <c r="F919" s="765">
        <v>0</v>
      </c>
      <c r="G919" s="91">
        <v>0</v>
      </c>
      <c r="H919" s="765">
        <v>0</v>
      </c>
      <c r="I919" s="765">
        <v>0</v>
      </c>
      <c r="J919" s="765">
        <v>0</v>
      </c>
      <c r="K919" s="282">
        <f>SUM(B919:J919)</f>
        <v>0</v>
      </c>
      <c r="L919" s="306"/>
      <c r="Y919" s="102"/>
    </row>
  </sheetData>
  <mergeCells count="63">
    <mergeCell ref="A840:E840"/>
    <mergeCell ref="A851:C851"/>
    <mergeCell ref="A863:D863"/>
    <mergeCell ref="A876:D876"/>
    <mergeCell ref="A887:D887"/>
    <mergeCell ref="A774:C774"/>
    <mergeCell ref="B787:F787"/>
    <mergeCell ref="B793:F793"/>
    <mergeCell ref="A802:C802"/>
    <mergeCell ref="A829:E829"/>
    <mergeCell ref="H21:O21"/>
    <mergeCell ref="B36:F36"/>
    <mergeCell ref="A748:C748"/>
    <mergeCell ref="H754:O754"/>
    <mergeCell ref="B764:F764"/>
    <mergeCell ref="A296:E296"/>
    <mergeCell ref="A201:C201"/>
    <mergeCell ref="H210:O210"/>
    <mergeCell ref="B219:F219"/>
    <mergeCell ref="A231:C231"/>
    <mergeCell ref="A320:D320"/>
    <mergeCell ref="A333:D333"/>
    <mergeCell ref="A344:D344"/>
    <mergeCell ref="A389:C389"/>
    <mergeCell ref="B242:F242"/>
    <mergeCell ref="B249:F249"/>
    <mergeCell ref="A13:C13"/>
    <mergeCell ref="A142:D142"/>
    <mergeCell ref="A153:D153"/>
    <mergeCell ref="A47:C47"/>
    <mergeCell ref="B59:F59"/>
    <mergeCell ref="B70:F70"/>
    <mergeCell ref="A79:C79"/>
    <mergeCell ref="A106:E106"/>
    <mergeCell ref="A117:C117"/>
    <mergeCell ref="A129:D129"/>
    <mergeCell ref="A258:C258"/>
    <mergeCell ref="A285:E285"/>
    <mergeCell ref="A308:C308"/>
    <mergeCell ref="H398:O398"/>
    <mergeCell ref="B407:F407"/>
    <mergeCell ref="A418:C418"/>
    <mergeCell ref="B428:F428"/>
    <mergeCell ref="B435:F435"/>
    <mergeCell ref="A444:C444"/>
    <mergeCell ref="A471:E471"/>
    <mergeCell ref="A482:C482"/>
    <mergeCell ref="A494:D494"/>
    <mergeCell ref="A507:D507"/>
    <mergeCell ref="A518:D518"/>
    <mergeCell ref="A563:C563"/>
    <mergeCell ref="H571:O571"/>
    <mergeCell ref="B581:F581"/>
    <mergeCell ref="A592:C592"/>
    <mergeCell ref="A681:D681"/>
    <mergeCell ref="A694:D694"/>
    <mergeCell ref="A705:D705"/>
    <mergeCell ref="A658:E658"/>
    <mergeCell ref="B605:F605"/>
    <mergeCell ref="B611:F611"/>
    <mergeCell ref="A620:C620"/>
    <mergeCell ref="A647:E647"/>
    <mergeCell ref="A669:C669"/>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C00000"/>
  </sheetPr>
  <dimension ref="A1:AT152"/>
  <sheetViews>
    <sheetView zoomScale="115" zoomScaleNormal="115" workbookViewId="0">
      <selection activeCell="A33" sqref="A33:G33"/>
    </sheetView>
  </sheetViews>
  <sheetFormatPr defaultRowHeight="11.25"/>
  <cols>
    <col min="1" max="1" width="13" style="21" customWidth="1"/>
    <col min="2" max="2" width="8.28515625" style="21" customWidth="1"/>
    <col min="3" max="4" width="9.140625" style="21"/>
    <col min="5" max="5" width="10.42578125" style="21" customWidth="1"/>
    <col min="6" max="6" width="9.140625" style="21" customWidth="1"/>
    <col min="7" max="7" width="1.85546875" style="25" customWidth="1"/>
    <col min="8" max="11" width="9.140625" style="21" customWidth="1"/>
    <col min="12" max="12" width="13.140625" style="21" customWidth="1"/>
    <col min="13" max="13" width="8.7109375" style="52" customWidth="1"/>
    <col min="14" max="14" width="10" style="21" customWidth="1"/>
    <col min="15" max="15" width="8.28515625" style="21" customWidth="1"/>
    <col min="16" max="16" width="6.140625" style="21" customWidth="1"/>
    <col min="17" max="17" width="6.5703125" style="21" customWidth="1"/>
    <col min="18" max="18" width="7.28515625" style="21" customWidth="1"/>
    <col min="19" max="19" width="6.85546875" style="21" customWidth="1"/>
    <col min="20" max="31" width="5.28515625" style="21" customWidth="1"/>
    <col min="32" max="32" width="9.140625" style="21" customWidth="1"/>
    <col min="33" max="33" width="11.140625" style="21" customWidth="1"/>
    <col min="34" max="34" width="9.140625" style="21"/>
    <col min="35" max="35" width="9.85546875" style="21" customWidth="1"/>
    <col min="36" max="39" width="9.140625" style="21"/>
    <col min="40" max="41" width="14.140625" style="21" customWidth="1"/>
    <col min="42" max="42" width="11.28515625" style="21" customWidth="1"/>
    <col min="43" max="44" width="9.140625" style="21"/>
    <col min="45" max="45" width="13.5703125" style="21" customWidth="1"/>
    <col min="46" max="46" width="9.140625" style="25"/>
    <col min="47" max="16384" width="9.140625" style="21"/>
  </cols>
  <sheetData>
    <row r="1" spans="1:46" s="24" customFormat="1">
      <c r="A1" s="23" t="s">
        <v>640</v>
      </c>
      <c r="B1" s="989" t="s">
        <v>641</v>
      </c>
      <c r="C1" s="989"/>
      <c r="D1" s="989"/>
      <c r="E1" s="16"/>
      <c r="F1" s="16"/>
      <c r="G1" s="16"/>
      <c r="H1" s="15"/>
      <c r="I1" s="15"/>
      <c r="J1" s="15"/>
      <c r="K1" s="17"/>
      <c r="M1" s="50"/>
      <c r="AT1" s="16"/>
    </row>
    <row r="2" spans="1:46" s="22" customFormat="1" ht="24" customHeight="1">
      <c r="A2" s="771" t="s">
        <v>642</v>
      </c>
      <c r="B2" s="771" t="s">
        <v>643</v>
      </c>
      <c r="C2" s="772" t="s">
        <v>644</v>
      </c>
      <c r="D2" s="771" t="s">
        <v>645</v>
      </c>
      <c r="E2" s="771" t="s">
        <v>646</v>
      </c>
      <c r="F2" s="771" t="s">
        <v>647</v>
      </c>
      <c r="G2" s="993" t="s">
        <v>648</v>
      </c>
      <c r="H2" s="994"/>
      <c r="I2" s="772" t="s">
        <v>649</v>
      </c>
      <c r="J2" s="772" t="s">
        <v>650</v>
      </c>
      <c r="K2" s="773" t="s">
        <v>651</v>
      </c>
      <c r="L2" s="991" t="s">
        <v>652</v>
      </c>
      <c r="M2" s="992"/>
      <c r="N2" s="990" t="s">
        <v>653</v>
      </c>
      <c r="O2" s="990"/>
      <c r="P2" s="990"/>
      <c r="Q2" s="990"/>
      <c r="R2" s="990"/>
      <c r="S2" s="990"/>
      <c r="T2" s="990"/>
      <c r="U2" s="990"/>
      <c r="V2" s="990"/>
      <c r="W2" s="990"/>
      <c r="X2" s="990"/>
      <c r="Y2" s="990"/>
      <c r="Z2" s="990"/>
      <c r="AA2" s="990"/>
      <c r="AB2" s="990"/>
      <c r="AC2" s="990"/>
      <c r="AD2" s="990"/>
      <c r="AE2" s="990"/>
      <c r="AF2" s="990"/>
      <c r="AG2" s="774" t="s">
        <v>382</v>
      </c>
      <c r="AH2" s="774" t="s">
        <v>654</v>
      </c>
      <c r="AI2" s="774" t="s">
        <v>384</v>
      </c>
      <c r="AJ2" s="774" t="s">
        <v>385</v>
      </c>
      <c r="AK2" s="774" t="s">
        <v>655</v>
      </c>
      <c r="AL2" s="774" t="s">
        <v>656</v>
      </c>
      <c r="AM2" s="774" t="s">
        <v>657</v>
      </c>
      <c r="AN2" s="774" t="s">
        <v>658</v>
      </c>
      <c r="AO2" s="774" t="s">
        <v>659</v>
      </c>
      <c r="AP2" s="774" t="s">
        <v>660</v>
      </c>
    </row>
    <row r="3" spans="1:46">
      <c r="A3" s="775"/>
      <c r="B3" s="776"/>
      <c r="C3" s="776"/>
      <c r="D3" s="777"/>
      <c r="E3" s="776"/>
      <c r="F3" s="776"/>
      <c r="G3" s="776"/>
      <c r="H3" s="776"/>
      <c r="I3" s="778" t="s">
        <v>661</v>
      </c>
      <c r="J3" s="778"/>
      <c r="K3" s="779"/>
      <c r="L3" s="44"/>
      <c r="M3" s="51"/>
      <c r="N3" s="780" t="s">
        <v>662</v>
      </c>
      <c r="O3" s="473"/>
      <c r="P3" s="473"/>
      <c r="Q3" s="473"/>
      <c r="R3" s="473"/>
      <c r="S3" s="473"/>
      <c r="T3" s="473"/>
      <c r="U3" s="473"/>
      <c r="V3" s="473"/>
      <c r="W3" s="473"/>
      <c r="X3" s="473"/>
      <c r="Y3" s="473"/>
      <c r="Z3" s="473"/>
      <c r="AA3" s="473"/>
      <c r="AB3" s="473"/>
      <c r="AC3" s="473"/>
      <c r="AD3" s="473"/>
      <c r="AE3" s="473"/>
      <c r="AF3" s="781"/>
      <c r="AG3" s="995" t="str">
        <f>N4</f>
        <v>TB1</v>
      </c>
      <c r="AH3" s="625">
        <v>10</v>
      </c>
      <c r="AI3" s="626">
        <f>M4</f>
        <v>250</v>
      </c>
      <c r="AJ3" s="626">
        <f>M5</f>
        <v>700</v>
      </c>
      <c r="AK3" s="627">
        <v>50</v>
      </c>
      <c r="AL3" s="628">
        <f>AI3-(2*AK3)</f>
        <v>150</v>
      </c>
      <c r="AM3" s="628">
        <f>AJ3-(2*AK3)</f>
        <v>600</v>
      </c>
      <c r="AN3" s="629">
        <f>2*(AL3+AM3)+(2*10*AH3)-(5*2*AH3)</f>
        <v>1600</v>
      </c>
      <c r="AO3" s="629">
        <f t="shared" ref="AO3" si="0">AN3/1000</f>
        <v>1.6</v>
      </c>
      <c r="AP3" s="782">
        <f>AO3+AO4+AO5</f>
        <v>5.2240000000000002</v>
      </c>
      <c r="AS3" s="632" t="s">
        <v>663</v>
      </c>
      <c r="AT3" s="633" t="s">
        <v>664</v>
      </c>
    </row>
    <row r="4" spans="1:46" ht="11.25" customHeight="1">
      <c r="A4" s="783" t="s">
        <v>395</v>
      </c>
      <c r="B4" s="784">
        <f>AF4</f>
        <v>77.367000000000019</v>
      </c>
      <c r="C4" s="785" t="s">
        <v>422</v>
      </c>
      <c r="D4" s="786" t="s">
        <v>665</v>
      </c>
      <c r="E4" s="784">
        <f>AF5</f>
        <v>14</v>
      </c>
      <c r="F4" s="783">
        <f>M4</f>
        <v>250</v>
      </c>
      <c r="G4" s="787" t="s">
        <v>666</v>
      </c>
      <c r="H4" s="788">
        <f>M5</f>
        <v>700</v>
      </c>
      <c r="I4" s="783">
        <f>M6</f>
        <v>2</v>
      </c>
      <c r="J4" s="787">
        <v>0</v>
      </c>
      <c r="K4" s="785"/>
      <c r="L4" s="54" t="s">
        <v>384</v>
      </c>
      <c r="M4" s="55">
        <v>250</v>
      </c>
      <c r="N4" s="789" t="str">
        <f>A4</f>
        <v>TB1</v>
      </c>
      <c r="O4" s="790">
        <v>5.8140000000000001</v>
      </c>
      <c r="P4" s="790">
        <v>6.0380000000000003</v>
      </c>
      <c r="Q4" s="790">
        <v>5.8419999999999996</v>
      </c>
      <c r="R4" s="790">
        <v>2.94</v>
      </c>
      <c r="S4" s="790">
        <v>3.855</v>
      </c>
      <c r="T4" s="790">
        <v>5.9450000000000003</v>
      </c>
      <c r="U4" s="790">
        <v>5.9550000000000001</v>
      </c>
      <c r="V4" s="790">
        <v>4.915</v>
      </c>
      <c r="W4" s="790">
        <v>2.8250000000000002</v>
      </c>
      <c r="X4" s="790">
        <v>5.3280000000000003</v>
      </c>
      <c r="Y4" s="790">
        <v>3.0750000000000002</v>
      </c>
      <c r="Z4" s="790">
        <v>4.0599999999999996</v>
      </c>
      <c r="AA4" s="790">
        <v>4.2919999999999998</v>
      </c>
      <c r="AB4" s="790">
        <v>6.141</v>
      </c>
      <c r="AC4" s="790">
        <v>4.3419999999999996</v>
      </c>
      <c r="AD4" s="790">
        <v>6</v>
      </c>
      <c r="AE4" s="42"/>
      <c r="AF4" s="783">
        <f>SUM(O4:AE4)</f>
        <v>77.367000000000019</v>
      </c>
      <c r="AG4" s="996"/>
      <c r="AH4" s="625">
        <v>10</v>
      </c>
      <c r="AI4" s="626">
        <v>256</v>
      </c>
      <c r="AJ4" s="626">
        <f>AJ3</f>
        <v>700</v>
      </c>
      <c r="AK4" s="627">
        <v>50</v>
      </c>
      <c r="AL4" s="628">
        <f>AI4</f>
        <v>256</v>
      </c>
      <c r="AM4" s="628">
        <f>AJ4-(2*AK4)</f>
        <v>600</v>
      </c>
      <c r="AN4" s="629">
        <f>2*(AL4+AM4)+(2*10*AH4)-(5*2*AH4)</f>
        <v>1812</v>
      </c>
      <c r="AO4" s="629">
        <f t="shared" ref="AO4:AO5" si="1">AN4/1000</f>
        <v>1.8120000000000001</v>
      </c>
      <c r="AP4" s="791"/>
      <c r="AS4" s="632" t="s">
        <v>667</v>
      </c>
      <c r="AT4" s="633" t="s">
        <v>664</v>
      </c>
    </row>
    <row r="5" spans="1:46">
      <c r="A5" s="630" t="s">
        <v>668</v>
      </c>
      <c r="B5" s="28">
        <v>16</v>
      </c>
      <c r="C5" s="28">
        <v>6</v>
      </c>
      <c r="D5" s="29">
        <f>B4</f>
        <v>77.367000000000019</v>
      </c>
      <c r="E5" s="26">
        <v>10</v>
      </c>
      <c r="F5" s="26">
        <f>((10*B5)*E4*C5)/1000</f>
        <v>13.44</v>
      </c>
      <c r="G5" s="26"/>
      <c r="H5" s="26">
        <f>(D5/6)*(0.04*B5)</f>
        <v>8.252480000000002</v>
      </c>
      <c r="I5" s="26">
        <f>C5*(D5+F5+H5)</f>
        <v>594.35688000000016</v>
      </c>
      <c r="J5" s="26">
        <f t="shared" ref="J5:J10" si="2">B5*B5/162</f>
        <v>1.5802469135802468</v>
      </c>
      <c r="K5" s="27">
        <f t="shared" ref="K5:K10" si="3">(I5*J5)/1000</f>
        <v>0.93923062518518541</v>
      </c>
      <c r="L5" s="54" t="s">
        <v>385</v>
      </c>
      <c r="M5" s="55">
        <v>700</v>
      </c>
      <c r="N5" s="631" t="s">
        <v>667</v>
      </c>
      <c r="O5" s="42">
        <v>2</v>
      </c>
      <c r="P5" s="42">
        <v>1</v>
      </c>
      <c r="Q5" s="42">
        <v>1</v>
      </c>
      <c r="R5" s="42">
        <v>1</v>
      </c>
      <c r="S5" s="42">
        <v>1</v>
      </c>
      <c r="T5" s="42">
        <v>0</v>
      </c>
      <c r="U5" s="42">
        <v>0</v>
      </c>
      <c r="V5" s="42">
        <v>1</v>
      </c>
      <c r="W5" s="42">
        <v>1</v>
      </c>
      <c r="X5" s="42">
        <v>1</v>
      </c>
      <c r="Y5" s="42">
        <v>1</v>
      </c>
      <c r="Z5" s="42">
        <v>0</v>
      </c>
      <c r="AA5" s="42">
        <v>1</v>
      </c>
      <c r="AB5" s="42">
        <v>1</v>
      </c>
      <c r="AC5" s="42">
        <v>1</v>
      </c>
      <c r="AD5" s="42">
        <v>1</v>
      </c>
      <c r="AE5" s="42"/>
      <c r="AF5" s="783">
        <f>SUM(O5:AE5)</f>
        <v>14</v>
      </c>
      <c r="AG5" s="997"/>
      <c r="AH5" s="625">
        <v>10</v>
      </c>
      <c r="AI5" s="626">
        <v>256</v>
      </c>
      <c r="AJ5" s="626">
        <f>AJ3</f>
        <v>700</v>
      </c>
      <c r="AK5" s="627">
        <v>50</v>
      </c>
      <c r="AL5" s="628">
        <f>AI5</f>
        <v>256</v>
      </c>
      <c r="AM5" s="628">
        <f>AJ5-(2*AK5)</f>
        <v>600</v>
      </c>
      <c r="AN5" s="629">
        <f>2*(AL5+AM5)+(2*10*AH5)-(5*2*AH5)</f>
        <v>1812</v>
      </c>
      <c r="AO5" s="629">
        <f t="shared" si="1"/>
        <v>1.8120000000000001</v>
      </c>
      <c r="AP5" s="53"/>
      <c r="AS5" s="632" t="s">
        <v>669</v>
      </c>
      <c r="AT5" s="633" t="s">
        <v>664</v>
      </c>
    </row>
    <row r="6" spans="1:46">
      <c r="A6" s="630"/>
      <c r="B6" s="28">
        <v>16</v>
      </c>
      <c r="C6" s="28">
        <v>6</v>
      </c>
      <c r="D6" s="29">
        <f>B4</f>
        <v>77.367000000000019</v>
      </c>
      <c r="E6" s="26">
        <v>10</v>
      </c>
      <c r="F6" s="26">
        <f>((10*B6)*E4*C6)/1000</f>
        <v>13.44</v>
      </c>
      <c r="G6" s="26"/>
      <c r="H6" s="26">
        <f>(D6/6)*(0.04*B6)</f>
        <v>8.252480000000002</v>
      </c>
      <c r="I6" s="26">
        <f>C6*(D6+F6+H6)</f>
        <v>594.35688000000016</v>
      </c>
      <c r="J6" s="26">
        <f t="shared" si="2"/>
        <v>1.5802469135802468</v>
      </c>
      <c r="K6" s="27">
        <f t="shared" si="3"/>
        <v>0.93923062518518541</v>
      </c>
      <c r="L6" s="54" t="s">
        <v>670</v>
      </c>
      <c r="M6" s="55">
        <v>2</v>
      </c>
      <c r="N6" s="631" t="s">
        <v>671</v>
      </c>
      <c r="O6" s="46">
        <f t="shared" ref="O6:U6" si="4">O4*0.7</f>
        <v>4.0697999999999999</v>
      </c>
      <c r="P6" s="46">
        <f t="shared" si="4"/>
        <v>4.2265999999999995</v>
      </c>
      <c r="Q6" s="46">
        <f t="shared" si="4"/>
        <v>4.0893999999999995</v>
      </c>
      <c r="R6" s="46">
        <f t="shared" si="4"/>
        <v>2.0579999999999998</v>
      </c>
      <c r="S6" s="46">
        <f t="shared" si="4"/>
        <v>2.6984999999999997</v>
      </c>
      <c r="T6" s="46">
        <f t="shared" si="4"/>
        <v>4.1615000000000002</v>
      </c>
      <c r="U6" s="46">
        <f t="shared" si="4"/>
        <v>4.1684999999999999</v>
      </c>
      <c r="V6" s="46">
        <f t="shared" ref="V6:W6" si="5">V4*0.7</f>
        <v>3.4404999999999997</v>
      </c>
      <c r="W6" s="46">
        <f t="shared" si="5"/>
        <v>1.9775</v>
      </c>
      <c r="X6" s="46">
        <f t="shared" ref="X6:Y6" si="6">X4*0.7</f>
        <v>3.7296</v>
      </c>
      <c r="Y6" s="46">
        <f t="shared" si="6"/>
        <v>2.1524999999999999</v>
      </c>
      <c r="Z6" s="46">
        <f t="shared" ref="Z6:AA6" si="7">Z4*0.7</f>
        <v>2.8419999999999996</v>
      </c>
      <c r="AA6" s="46">
        <f t="shared" si="7"/>
        <v>3.0043999999999995</v>
      </c>
      <c r="AB6" s="46">
        <f t="shared" ref="AB6:AC6" si="8">AB4*0.7</f>
        <v>4.2986999999999993</v>
      </c>
      <c r="AC6" s="46">
        <f t="shared" si="8"/>
        <v>3.0393999999999997</v>
      </c>
      <c r="AD6" s="46">
        <f t="shared" ref="AD6" si="9">AD4*0.7</f>
        <v>4.1999999999999993</v>
      </c>
      <c r="AE6" s="46"/>
      <c r="AF6" s="47"/>
      <c r="AS6" s="632" t="s">
        <v>672</v>
      </c>
      <c r="AT6" s="633" t="s">
        <v>664</v>
      </c>
    </row>
    <row r="7" spans="1:46">
      <c r="A7" s="630"/>
      <c r="B7" s="28">
        <v>12</v>
      </c>
      <c r="C7" s="28">
        <v>4</v>
      </c>
      <c r="D7" s="29">
        <f>B5</f>
        <v>16</v>
      </c>
      <c r="E7" s="26">
        <v>10</v>
      </c>
      <c r="F7" s="26">
        <f>((10*B7)*E5*C7)/1000</f>
        <v>4.8</v>
      </c>
      <c r="G7" s="26"/>
      <c r="H7" s="26">
        <f>(D7/6)*(0.04*B7)</f>
        <v>1.2799999999999998</v>
      </c>
      <c r="I7" s="26">
        <f>C7*(D7+F7+H7)</f>
        <v>88.320000000000007</v>
      </c>
      <c r="J7" s="26">
        <f t="shared" ref="J7" si="10">B7*B7/162</f>
        <v>0.88888888888888884</v>
      </c>
      <c r="K7" s="27">
        <f t="shared" ref="K7" si="11">(I7*J7)/1000</f>
        <v>7.8506666666666669E-2</v>
      </c>
      <c r="L7" s="54"/>
      <c r="M7" s="55"/>
      <c r="N7" s="631"/>
      <c r="O7" s="46"/>
      <c r="P7" s="46"/>
      <c r="Q7" s="46"/>
      <c r="R7" s="46"/>
      <c r="S7" s="46"/>
      <c r="T7" s="46"/>
      <c r="U7" s="46"/>
      <c r="V7" s="46"/>
      <c r="W7" s="46"/>
      <c r="X7" s="46"/>
      <c r="Y7" s="46"/>
      <c r="Z7" s="46"/>
      <c r="AA7" s="46"/>
      <c r="AB7" s="46"/>
      <c r="AC7" s="46"/>
      <c r="AD7" s="46"/>
      <c r="AE7" s="46"/>
      <c r="AF7" s="47"/>
      <c r="AS7" s="632"/>
      <c r="AT7" s="633"/>
    </row>
    <row r="8" spans="1:46">
      <c r="A8" s="630" t="s">
        <v>673</v>
      </c>
      <c r="B8" s="28">
        <v>16</v>
      </c>
      <c r="C8" s="28">
        <v>2</v>
      </c>
      <c r="D8" s="30">
        <f>AF8</f>
        <v>57</v>
      </c>
      <c r="E8" s="26"/>
      <c r="F8" s="26"/>
      <c r="G8" s="26"/>
      <c r="H8" s="26">
        <f>(D8/6)*(0.04*B8)</f>
        <v>6.08</v>
      </c>
      <c r="I8" s="26">
        <f>C8*(D8+F8+H8)</f>
        <v>126.16</v>
      </c>
      <c r="J8" s="26">
        <f t="shared" si="2"/>
        <v>1.5802469135802468</v>
      </c>
      <c r="K8" s="27">
        <f t="shared" si="3"/>
        <v>0.19936395061728393</v>
      </c>
      <c r="L8" s="54" t="s">
        <v>674</v>
      </c>
      <c r="M8" s="55">
        <v>0.15</v>
      </c>
      <c r="N8" s="631" t="s">
        <v>675</v>
      </c>
      <c r="O8" s="49">
        <v>4</v>
      </c>
      <c r="P8" s="49">
        <v>4.5</v>
      </c>
      <c r="Q8" s="49">
        <v>4</v>
      </c>
      <c r="R8" s="49">
        <v>2</v>
      </c>
      <c r="S8" s="49">
        <v>3</v>
      </c>
      <c r="T8" s="49">
        <v>4.5</v>
      </c>
      <c r="U8" s="49">
        <v>4.5</v>
      </c>
      <c r="V8" s="49">
        <v>4</v>
      </c>
      <c r="W8" s="49">
        <v>2</v>
      </c>
      <c r="X8" s="49">
        <v>4</v>
      </c>
      <c r="Y8" s="49">
        <v>2.5</v>
      </c>
      <c r="Z8" s="49">
        <v>3</v>
      </c>
      <c r="AA8" s="49">
        <v>3</v>
      </c>
      <c r="AB8" s="49">
        <v>4.5</v>
      </c>
      <c r="AC8" s="49">
        <v>3</v>
      </c>
      <c r="AD8" s="49">
        <v>4.5</v>
      </c>
      <c r="AE8" s="42"/>
      <c r="AF8" s="783">
        <f>SUM(O8:AE8)</f>
        <v>57</v>
      </c>
      <c r="AS8" s="632" t="s">
        <v>676</v>
      </c>
      <c r="AT8" s="633" t="s">
        <v>664</v>
      </c>
    </row>
    <row r="9" spans="1:46">
      <c r="A9" s="630" t="s">
        <v>677</v>
      </c>
      <c r="B9" s="28">
        <v>16</v>
      </c>
      <c r="C9" s="28">
        <v>6</v>
      </c>
      <c r="D9" s="30">
        <f>AF10</f>
        <v>30.5</v>
      </c>
      <c r="E9" s="26">
        <v>10</v>
      </c>
      <c r="F9" s="26">
        <f>((10*B9)*E4*C9)/1000</f>
        <v>13.44</v>
      </c>
      <c r="G9" s="26"/>
      <c r="H9" s="26">
        <f>(D9/6)*(0.04*B9)</f>
        <v>3.2533333333333334</v>
      </c>
      <c r="I9" s="26">
        <f>C9*(D9+F9+H9)</f>
        <v>283.15999999999997</v>
      </c>
      <c r="J9" s="26">
        <f t="shared" si="2"/>
        <v>1.5802469135802468</v>
      </c>
      <c r="K9" s="27">
        <f t="shared" si="3"/>
        <v>0.44746271604938265</v>
      </c>
      <c r="L9" s="54" t="s">
        <v>678</v>
      </c>
      <c r="M9" s="55">
        <f>AP3</f>
        <v>5.2240000000000002</v>
      </c>
      <c r="N9" s="631" t="s">
        <v>679</v>
      </c>
      <c r="O9" s="46">
        <f t="shared" ref="O9:U9" si="12">O4*0.35</f>
        <v>2.0348999999999999</v>
      </c>
      <c r="P9" s="46">
        <f t="shared" si="12"/>
        <v>2.1132999999999997</v>
      </c>
      <c r="Q9" s="46">
        <f t="shared" si="12"/>
        <v>2.0446999999999997</v>
      </c>
      <c r="R9" s="46">
        <f t="shared" si="12"/>
        <v>1.0289999999999999</v>
      </c>
      <c r="S9" s="46">
        <f t="shared" si="12"/>
        <v>1.3492499999999998</v>
      </c>
      <c r="T9" s="46">
        <f t="shared" si="12"/>
        <v>2.0807500000000001</v>
      </c>
      <c r="U9" s="46">
        <f t="shared" si="12"/>
        <v>2.0842499999999999</v>
      </c>
      <c r="V9" s="46">
        <f t="shared" ref="V9:W9" si="13">V4*0.35</f>
        <v>1.7202499999999998</v>
      </c>
      <c r="W9" s="46">
        <f t="shared" si="13"/>
        <v>0.98875000000000002</v>
      </c>
      <c r="X9" s="46">
        <f t="shared" ref="X9:Y9" si="14">X4*0.35</f>
        <v>1.8648</v>
      </c>
      <c r="Y9" s="46">
        <f t="shared" si="14"/>
        <v>1.0762499999999999</v>
      </c>
      <c r="Z9" s="46">
        <f t="shared" ref="Z9:AA9" si="15">Z4*0.35</f>
        <v>1.4209999999999998</v>
      </c>
      <c r="AA9" s="46">
        <f t="shared" si="15"/>
        <v>1.5021999999999998</v>
      </c>
      <c r="AB9" s="46">
        <f t="shared" ref="AB9:AC9" si="16">AB4*0.35</f>
        <v>2.1493499999999996</v>
      </c>
      <c r="AC9" s="46">
        <f t="shared" si="16"/>
        <v>1.5196999999999998</v>
      </c>
      <c r="AD9" s="46">
        <f t="shared" ref="AD9" si="17">AD4*0.35</f>
        <v>2.0999999999999996</v>
      </c>
      <c r="AE9" s="46"/>
      <c r="AF9" s="47"/>
      <c r="AS9" s="632" t="s">
        <v>680</v>
      </c>
      <c r="AT9" s="633" t="s">
        <v>664</v>
      </c>
    </row>
    <row r="10" spans="1:46">
      <c r="A10" s="45">
        <f>M8</f>
        <v>0.15</v>
      </c>
      <c r="B10" s="31">
        <v>6</v>
      </c>
      <c r="C10" s="32">
        <f>(B4/A10)*I4</f>
        <v>1031.5600000000004</v>
      </c>
      <c r="D10" s="33">
        <f>M9</f>
        <v>5.2240000000000002</v>
      </c>
      <c r="E10" s="32"/>
      <c r="F10" s="32"/>
      <c r="G10" s="32"/>
      <c r="H10" s="32"/>
      <c r="I10" s="32">
        <f>D10*C10</f>
        <v>5388.8694400000022</v>
      </c>
      <c r="J10" s="32">
        <f t="shared" si="2"/>
        <v>0.22222222222222221</v>
      </c>
      <c r="K10" s="34">
        <f t="shared" si="3"/>
        <v>1.1975265422222225</v>
      </c>
      <c r="L10" s="337"/>
      <c r="M10" s="338"/>
      <c r="N10" s="48" t="s">
        <v>681</v>
      </c>
      <c r="O10" s="43">
        <v>2</v>
      </c>
      <c r="P10" s="43">
        <v>2.5</v>
      </c>
      <c r="Q10" s="43">
        <v>2</v>
      </c>
      <c r="R10" s="43">
        <v>1</v>
      </c>
      <c r="S10" s="43">
        <v>1.5</v>
      </c>
      <c r="T10" s="43">
        <v>2.5</v>
      </c>
      <c r="U10" s="43">
        <v>2.5</v>
      </c>
      <c r="V10" s="43">
        <v>2</v>
      </c>
      <c r="W10" s="43">
        <v>1</v>
      </c>
      <c r="X10" s="43">
        <v>2</v>
      </c>
      <c r="Y10" s="43">
        <v>1.5</v>
      </c>
      <c r="Z10" s="43">
        <v>1.5</v>
      </c>
      <c r="AA10" s="43">
        <v>1.5</v>
      </c>
      <c r="AB10" s="43">
        <v>2.5</v>
      </c>
      <c r="AC10" s="43">
        <v>1.5</v>
      </c>
      <c r="AD10" s="43">
        <v>3</v>
      </c>
      <c r="AE10" s="43"/>
      <c r="AF10" s="783">
        <f>SUM(O10:AE10)</f>
        <v>30.5</v>
      </c>
      <c r="AS10" s="632" t="s">
        <v>682</v>
      </c>
      <c r="AT10" s="633" t="s">
        <v>664</v>
      </c>
    </row>
    <row r="11" spans="1:46">
      <c r="A11" s="974"/>
      <c r="B11" s="975"/>
      <c r="C11" s="975"/>
      <c r="D11" s="975"/>
      <c r="E11" s="975"/>
      <c r="F11" s="975"/>
      <c r="G11" s="975"/>
      <c r="H11" s="975"/>
      <c r="I11" s="975"/>
      <c r="J11" s="975"/>
      <c r="K11" s="976"/>
    </row>
    <row r="12" spans="1:46">
      <c r="A12" s="775"/>
      <c r="B12" s="776"/>
      <c r="C12" s="776"/>
      <c r="D12" s="777"/>
      <c r="E12" s="776"/>
      <c r="F12" s="776"/>
      <c r="G12" s="776"/>
      <c r="H12" s="776"/>
      <c r="I12" s="778" t="s">
        <v>661</v>
      </c>
      <c r="J12" s="778"/>
      <c r="K12" s="779"/>
      <c r="L12" s="44"/>
      <c r="M12" s="51"/>
      <c r="N12" s="780" t="s">
        <v>662</v>
      </c>
      <c r="O12" s="473"/>
      <c r="P12" s="473"/>
      <c r="Q12" s="473"/>
      <c r="R12" s="473"/>
      <c r="S12" s="473"/>
      <c r="T12" s="473"/>
      <c r="U12" s="473"/>
      <c r="V12" s="473"/>
      <c r="W12" s="473"/>
      <c r="X12" s="473"/>
      <c r="Y12" s="473"/>
      <c r="Z12" s="473"/>
      <c r="AA12" s="473"/>
      <c r="AB12" s="473"/>
      <c r="AC12" s="473"/>
      <c r="AD12" s="473"/>
      <c r="AE12" s="473"/>
      <c r="AF12" s="781"/>
      <c r="AG12" s="986" t="str">
        <f>N13</f>
        <v>TB2</v>
      </c>
      <c r="AH12" s="625">
        <v>10</v>
      </c>
      <c r="AI12" s="626">
        <f>M13</f>
        <v>250</v>
      </c>
      <c r="AJ12" s="626">
        <f>M14</f>
        <v>450</v>
      </c>
      <c r="AK12" s="627">
        <v>50</v>
      </c>
      <c r="AL12" s="628">
        <f>AI12-(2*AK12)</f>
        <v>150</v>
      </c>
      <c r="AM12" s="628">
        <f>AJ12-(2*AK12)</f>
        <v>350</v>
      </c>
      <c r="AN12" s="629">
        <f>2*(AL12+AM12)+(2*10*AH12)-(5*2*AH12)</f>
        <v>1100</v>
      </c>
      <c r="AO12" s="629">
        <f t="shared" ref="AO12:AO14" si="18">AN12/1000</f>
        <v>1.1000000000000001</v>
      </c>
      <c r="AP12" s="782">
        <f>AO12+AO13+AO14</f>
        <v>3.7240000000000002</v>
      </c>
      <c r="AS12" s="632" t="s">
        <v>663</v>
      </c>
      <c r="AT12" s="633" t="s">
        <v>664</v>
      </c>
    </row>
    <row r="13" spans="1:46" ht="11.25" customHeight="1">
      <c r="A13" s="783" t="s">
        <v>396</v>
      </c>
      <c r="B13" s="784">
        <f>AF13</f>
        <v>8.2620000000000005</v>
      </c>
      <c r="C13" s="785" t="s">
        <v>422</v>
      </c>
      <c r="D13" s="786" t="s">
        <v>665</v>
      </c>
      <c r="E13" s="784">
        <f>AF14</f>
        <v>1</v>
      </c>
      <c r="F13" s="783">
        <f>M13</f>
        <v>250</v>
      </c>
      <c r="G13" s="787" t="s">
        <v>666</v>
      </c>
      <c r="H13" s="788">
        <f>M14</f>
        <v>450</v>
      </c>
      <c r="I13" s="783">
        <f>M15</f>
        <v>1</v>
      </c>
      <c r="J13" s="787">
        <v>0</v>
      </c>
      <c r="K13" s="785"/>
      <c r="L13" s="54" t="s">
        <v>384</v>
      </c>
      <c r="M13" s="55">
        <v>250</v>
      </c>
      <c r="N13" s="789" t="str">
        <f>A13</f>
        <v>TB2</v>
      </c>
      <c r="O13" s="790">
        <v>4.2069999999999999</v>
      </c>
      <c r="P13" s="790">
        <v>4.0549999999999997</v>
      </c>
      <c r="Q13" s="790"/>
      <c r="R13" s="790"/>
      <c r="S13" s="790"/>
      <c r="T13" s="790"/>
      <c r="U13" s="790"/>
      <c r="V13" s="42"/>
      <c r="W13" s="42"/>
      <c r="X13" s="42"/>
      <c r="Y13" s="42"/>
      <c r="Z13" s="42"/>
      <c r="AA13" s="42"/>
      <c r="AB13" s="42"/>
      <c r="AC13" s="42"/>
      <c r="AD13" s="42"/>
      <c r="AE13" s="42"/>
      <c r="AF13" s="783">
        <f>SUM(O13:AE13)</f>
        <v>8.2620000000000005</v>
      </c>
      <c r="AG13" s="987"/>
      <c r="AH13" s="625">
        <v>10</v>
      </c>
      <c r="AI13" s="626">
        <v>256</v>
      </c>
      <c r="AJ13" s="626">
        <f>AJ12</f>
        <v>450</v>
      </c>
      <c r="AK13" s="627">
        <v>50</v>
      </c>
      <c r="AL13" s="628">
        <f>AI13</f>
        <v>256</v>
      </c>
      <c r="AM13" s="628">
        <f>AJ13-(2*AK13)</f>
        <v>350</v>
      </c>
      <c r="AN13" s="629">
        <f>2*(AL13+AM13)+(2*10*AH13)-(5*2*AH13)</f>
        <v>1312</v>
      </c>
      <c r="AO13" s="629">
        <f t="shared" si="18"/>
        <v>1.3120000000000001</v>
      </c>
      <c r="AP13" s="791"/>
      <c r="AS13" s="632" t="s">
        <v>667</v>
      </c>
      <c r="AT13" s="633" t="s">
        <v>664</v>
      </c>
    </row>
    <row r="14" spans="1:46">
      <c r="A14" s="630" t="s">
        <v>668</v>
      </c>
      <c r="B14" s="28">
        <v>16</v>
      </c>
      <c r="C14" s="28">
        <v>6</v>
      </c>
      <c r="D14" s="29">
        <f>B13</f>
        <v>8.2620000000000005</v>
      </c>
      <c r="E14" s="26">
        <v>10</v>
      </c>
      <c r="F14" s="26">
        <f>((10*B14)*E13*C14)/1000</f>
        <v>0.96</v>
      </c>
      <c r="G14" s="26"/>
      <c r="H14" s="26">
        <f>(D14/6)*(0.04*B14)</f>
        <v>0.88128000000000006</v>
      </c>
      <c r="I14" s="26">
        <f>C14*(D14+F14+H14)</f>
        <v>60.61968000000001</v>
      </c>
      <c r="J14" s="26">
        <f t="shared" ref="J14:J19" si="19">B14*B14/162</f>
        <v>1.5802469135802468</v>
      </c>
      <c r="K14" s="27">
        <f t="shared" ref="K14:K19" si="20">(I14*J14)/1000</f>
        <v>9.579406222222224E-2</v>
      </c>
      <c r="L14" s="54" t="s">
        <v>385</v>
      </c>
      <c r="M14" s="55">
        <v>450</v>
      </c>
      <c r="N14" s="631" t="s">
        <v>667</v>
      </c>
      <c r="O14" s="42">
        <v>0</v>
      </c>
      <c r="P14" s="42">
        <v>1</v>
      </c>
      <c r="Q14" s="42"/>
      <c r="R14" s="42"/>
      <c r="S14" s="42"/>
      <c r="T14" s="42"/>
      <c r="U14" s="42"/>
      <c r="V14" s="42"/>
      <c r="W14" s="42"/>
      <c r="X14" s="42"/>
      <c r="Y14" s="42"/>
      <c r="Z14" s="42"/>
      <c r="AA14" s="42"/>
      <c r="AB14" s="42"/>
      <c r="AC14" s="42"/>
      <c r="AD14" s="42"/>
      <c r="AE14" s="42"/>
      <c r="AF14" s="783">
        <f>SUM(O14:AE14)</f>
        <v>1</v>
      </c>
      <c r="AG14" s="988"/>
      <c r="AH14" s="625">
        <v>10</v>
      </c>
      <c r="AI14" s="626">
        <v>256</v>
      </c>
      <c r="AJ14" s="626">
        <f>AJ12</f>
        <v>450</v>
      </c>
      <c r="AK14" s="627">
        <v>50</v>
      </c>
      <c r="AL14" s="628">
        <f>AI14</f>
        <v>256</v>
      </c>
      <c r="AM14" s="628">
        <f>AJ14-(2*AK14)</f>
        <v>350</v>
      </c>
      <c r="AN14" s="629">
        <f>2*(AL14+AM14)+(2*10*AH14)-(5*2*AH14)</f>
        <v>1312</v>
      </c>
      <c r="AO14" s="629">
        <f t="shared" si="18"/>
        <v>1.3120000000000001</v>
      </c>
      <c r="AP14" s="53"/>
      <c r="AS14" s="632" t="s">
        <v>669</v>
      </c>
      <c r="AT14" s="633" t="s">
        <v>664</v>
      </c>
    </row>
    <row r="15" spans="1:46">
      <c r="A15" s="630"/>
      <c r="B15" s="28">
        <v>16</v>
      </c>
      <c r="C15" s="28">
        <v>6</v>
      </c>
      <c r="D15" s="29">
        <f>B13</f>
        <v>8.2620000000000005</v>
      </c>
      <c r="E15" s="26">
        <v>10</v>
      </c>
      <c r="F15" s="26">
        <f>((10*B15)*E13*C15)/1000</f>
        <v>0.96</v>
      </c>
      <c r="G15" s="26"/>
      <c r="H15" s="26">
        <f>(D15/6)*(0.04*B15)</f>
        <v>0.88128000000000006</v>
      </c>
      <c r="I15" s="26">
        <f>C15*(D15+F15+H15)</f>
        <v>60.61968000000001</v>
      </c>
      <c r="J15" s="26">
        <f t="shared" si="19"/>
        <v>1.5802469135802468</v>
      </c>
      <c r="K15" s="27">
        <f t="shared" si="20"/>
        <v>9.579406222222224E-2</v>
      </c>
      <c r="L15" s="54" t="s">
        <v>670</v>
      </c>
      <c r="M15" s="55">
        <v>1</v>
      </c>
      <c r="N15" s="631" t="s">
        <v>671</v>
      </c>
      <c r="O15" s="46">
        <f t="shared" ref="O15" si="21">O13*0.7</f>
        <v>2.9448999999999996</v>
      </c>
      <c r="P15" s="46">
        <f t="shared" ref="P15" si="22">P13*0.7</f>
        <v>2.8384999999999998</v>
      </c>
      <c r="Q15" s="46"/>
      <c r="R15" s="46"/>
      <c r="S15" s="46"/>
      <c r="T15" s="46"/>
      <c r="U15" s="46"/>
      <c r="V15" s="46"/>
      <c r="W15" s="46"/>
      <c r="X15" s="46"/>
      <c r="Y15" s="46"/>
      <c r="Z15" s="46"/>
      <c r="AA15" s="46"/>
      <c r="AB15" s="46"/>
      <c r="AC15" s="46"/>
      <c r="AD15" s="46"/>
      <c r="AE15" s="46"/>
      <c r="AF15" s="47"/>
      <c r="AS15" s="632" t="s">
        <v>672</v>
      </c>
      <c r="AT15" s="633" t="s">
        <v>664</v>
      </c>
    </row>
    <row r="16" spans="1:46">
      <c r="A16" s="630"/>
      <c r="B16" s="28">
        <v>16</v>
      </c>
      <c r="C16" s="28">
        <v>4</v>
      </c>
      <c r="D16" s="29">
        <f>B14</f>
        <v>16</v>
      </c>
      <c r="E16" s="26">
        <v>10</v>
      </c>
      <c r="F16" s="26">
        <f>((10*B16)*E14*C16)/1000</f>
        <v>6.4</v>
      </c>
      <c r="G16" s="26"/>
      <c r="H16" s="26">
        <f>(D16/6)*(0.04*B16)</f>
        <v>1.7066666666666666</v>
      </c>
      <c r="I16" s="26">
        <f>C16*(D16+F16+H16)</f>
        <v>96.426666666666662</v>
      </c>
      <c r="J16" s="26">
        <f t="shared" si="19"/>
        <v>1.5802469135802468</v>
      </c>
      <c r="K16" s="27">
        <f t="shared" si="20"/>
        <v>0.15237794238683125</v>
      </c>
      <c r="L16" s="54"/>
      <c r="M16" s="55"/>
      <c r="N16" s="631"/>
      <c r="O16" s="46"/>
      <c r="P16" s="46"/>
      <c r="Q16" s="46"/>
      <c r="R16" s="46"/>
      <c r="S16" s="46"/>
      <c r="T16" s="46"/>
      <c r="U16" s="46"/>
      <c r="V16" s="46"/>
      <c r="W16" s="46"/>
      <c r="X16" s="46"/>
      <c r="Y16" s="46"/>
      <c r="Z16" s="46"/>
      <c r="AA16" s="46"/>
      <c r="AB16" s="46"/>
      <c r="AC16" s="46"/>
      <c r="AD16" s="46"/>
      <c r="AE16" s="46"/>
      <c r="AF16" s="47"/>
      <c r="AS16" s="632"/>
      <c r="AT16" s="633"/>
    </row>
    <row r="17" spans="1:46">
      <c r="A17" s="630" t="s">
        <v>683</v>
      </c>
      <c r="B17" s="28">
        <v>16</v>
      </c>
      <c r="C17" s="28">
        <v>2</v>
      </c>
      <c r="D17" s="30">
        <f>AF17</f>
        <v>6</v>
      </c>
      <c r="E17" s="26"/>
      <c r="F17" s="26"/>
      <c r="G17" s="26"/>
      <c r="H17" s="26">
        <f>(D17/6)*(0.04*B17)</f>
        <v>0.64</v>
      </c>
      <c r="I17" s="26">
        <f>C17*(D17+F17+H17)</f>
        <v>13.28</v>
      </c>
      <c r="J17" s="26">
        <f t="shared" si="19"/>
        <v>1.5802469135802468</v>
      </c>
      <c r="K17" s="27">
        <f t="shared" si="20"/>
        <v>2.0985679012345677E-2</v>
      </c>
      <c r="L17" s="54" t="s">
        <v>674</v>
      </c>
      <c r="M17" s="55">
        <v>0.15</v>
      </c>
      <c r="N17" s="631" t="s">
        <v>675</v>
      </c>
      <c r="O17" s="49">
        <v>3</v>
      </c>
      <c r="P17" s="49">
        <v>3</v>
      </c>
      <c r="Q17" s="49"/>
      <c r="R17" s="49"/>
      <c r="S17" s="49"/>
      <c r="T17" s="49"/>
      <c r="U17" s="49"/>
      <c r="V17" s="42"/>
      <c r="W17" s="42"/>
      <c r="X17" s="42"/>
      <c r="Y17" s="42"/>
      <c r="Z17" s="42"/>
      <c r="AA17" s="42"/>
      <c r="AB17" s="42"/>
      <c r="AC17" s="42"/>
      <c r="AD17" s="42"/>
      <c r="AE17" s="42"/>
      <c r="AF17" s="783">
        <f>SUM(O17:AE17)</f>
        <v>6</v>
      </c>
      <c r="AS17" s="632" t="s">
        <v>676</v>
      </c>
      <c r="AT17" s="633" t="s">
        <v>664</v>
      </c>
    </row>
    <row r="18" spans="1:46">
      <c r="A18" s="630" t="s">
        <v>677</v>
      </c>
      <c r="B18" s="28">
        <v>16</v>
      </c>
      <c r="C18" s="28">
        <v>6</v>
      </c>
      <c r="D18" s="30">
        <f>AF19</f>
        <v>3</v>
      </c>
      <c r="E18" s="26">
        <v>10</v>
      </c>
      <c r="F18" s="26">
        <f>((10*B18)*E13*C18)/1000</f>
        <v>0.96</v>
      </c>
      <c r="G18" s="26"/>
      <c r="H18" s="26">
        <f>(D18/6)*(0.04*B18)</f>
        <v>0.32</v>
      </c>
      <c r="I18" s="26">
        <f>C18*(D18+F18+H18)</f>
        <v>25.68</v>
      </c>
      <c r="J18" s="26">
        <f t="shared" si="19"/>
        <v>1.5802469135802468</v>
      </c>
      <c r="K18" s="27">
        <f t="shared" si="20"/>
        <v>4.0580740740740737E-2</v>
      </c>
      <c r="L18" s="54" t="s">
        <v>678</v>
      </c>
      <c r="M18" s="55">
        <f>AP12</f>
        <v>3.7240000000000002</v>
      </c>
      <c r="N18" s="631" t="s">
        <v>679</v>
      </c>
      <c r="O18" s="46">
        <f t="shared" ref="O18" si="23">O13*0.35</f>
        <v>1.4724499999999998</v>
      </c>
      <c r="P18" s="46">
        <f t="shared" ref="P18" si="24">P13*0.35</f>
        <v>1.4192499999999999</v>
      </c>
      <c r="Q18" s="46"/>
      <c r="R18" s="46"/>
      <c r="S18" s="46"/>
      <c r="T18" s="46"/>
      <c r="U18" s="46"/>
      <c r="V18" s="46"/>
      <c r="W18" s="46"/>
      <c r="X18" s="46"/>
      <c r="Y18" s="46"/>
      <c r="Z18" s="46"/>
      <c r="AA18" s="46"/>
      <c r="AB18" s="46"/>
      <c r="AC18" s="46"/>
      <c r="AD18" s="46"/>
      <c r="AE18" s="46"/>
      <c r="AF18" s="47"/>
      <c r="AS18" s="632" t="s">
        <v>680</v>
      </c>
      <c r="AT18" s="633" t="s">
        <v>664</v>
      </c>
    </row>
    <row r="19" spans="1:46">
      <c r="A19" s="45">
        <f>M17</f>
        <v>0.15</v>
      </c>
      <c r="B19" s="31">
        <v>6</v>
      </c>
      <c r="C19" s="32">
        <f>(B13/A19)*I13</f>
        <v>55.080000000000005</v>
      </c>
      <c r="D19" s="33">
        <f>M18</f>
        <v>3.7240000000000002</v>
      </c>
      <c r="E19" s="32"/>
      <c r="F19" s="32"/>
      <c r="G19" s="32"/>
      <c r="H19" s="32"/>
      <c r="I19" s="32">
        <f>D19*C19</f>
        <v>205.11792000000003</v>
      </c>
      <c r="J19" s="32">
        <f t="shared" si="19"/>
        <v>0.22222222222222221</v>
      </c>
      <c r="K19" s="34">
        <f t="shared" si="20"/>
        <v>4.5581760000000006E-2</v>
      </c>
      <c r="L19" s="337"/>
      <c r="M19" s="338"/>
      <c r="N19" s="48" t="s">
        <v>681</v>
      </c>
      <c r="O19" s="43">
        <v>1.5</v>
      </c>
      <c r="P19" s="43">
        <v>1.5</v>
      </c>
      <c r="Q19" s="43"/>
      <c r="R19" s="43"/>
      <c r="S19" s="43"/>
      <c r="T19" s="43"/>
      <c r="U19" s="43"/>
      <c r="V19" s="43"/>
      <c r="W19" s="43"/>
      <c r="X19" s="43"/>
      <c r="Y19" s="43"/>
      <c r="Z19" s="43"/>
      <c r="AA19" s="43"/>
      <c r="AB19" s="43"/>
      <c r="AC19" s="43"/>
      <c r="AD19" s="43"/>
      <c r="AE19" s="43"/>
      <c r="AF19" s="783">
        <f>SUM(O19:AE19)</f>
        <v>3</v>
      </c>
      <c r="AS19" s="632" t="s">
        <v>682</v>
      </c>
      <c r="AT19" s="633" t="s">
        <v>664</v>
      </c>
    </row>
    <row r="20" spans="1:46">
      <c r="A20" s="974"/>
      <c r="B20" s="975"/>
      <c r="C20" s="975"/>
      <c r="D20" s="975"/>
      <c r="E20" s="975"/>
      <c r="F20" s="975"/>
      <c r="G20" s="975"/>
      <c r="H20" s="975"/>
      <c r="I20" s="975"/>
      <c r="J20" s="975"/>
      <c r="K20" s="976"/>
    </row>
    <row r="21" spans="1:46">
      <c r="A21" s="775"/>
      <c r="B21" s="776"/>
      <c r="C21" s="776"/>
      <c r="D21" s="777"/>
      <c r="E21" s="776"/>
      <c r="F21" s="776"/>
      <c r="G21" s="776"/>
      <c r="H21" s="776"/>
      <c r="I21" s="778" t="s">
        <v>661</v>
      </c>
      <c r="J21" s="778"/>
      <c r="K21" s="779"/>
      <c r="L21" s="44"/>
      <c r="M21" s="51"/>
      <c r="N21" s="780" t="s">
        <v>662</v>
      </c>
      <c r="O21" s="473"/>
      <c r="P21" s="473"/>
      <c r="Q21" s="473"/>
      <c r="R21" s="473"/>
      <c r="S21" s="473"/>
      <c r="T21" s="473"/>
      <c r="U21" s="473"/>
      <c r="V21" s="473"/>
      <c r="W21" s="473"/>
      <c r="X21" s="473"/>
      <c r="Y21" s="473"/>
      <c r="Z21" s="473"/>
      <c r="AA21" s="473"/>
      <c r="AB21" s="473"/>
      <c r="AC21" s="473"/>
      <c r="AD21" s="473"/>
      <c r="AE21" s="473"/>
      <c r="AF21" s="781"/>
      <c r="AG21" s="986" t="str">
        <f>N22</f>
        <v>TB3</v>
      </c>
      <c r="AH21" s="625">
        <v>10</v>
      </c>
      <c r="AI21" s="626">
        <f>M22</f>
        <v>250</v>
      </c>
      <c r="AJ21" s="626">
        <f>M23</f>
        <v>450</v>
      </c>
      <c r="AK21" s="627">
        <v>50</v>
      </c>
      <c r="AL21" s="628">
        <f>AI21-(2*AK21)</f>
        <v>150</v>
      </c>
      <c r="AM21" s="628">
        <f>AJ21-(2*AK21)</f>
        <v>350</v>
      </c>
      <c r="AN21" s="629">
        <f>2*(AL21+AM21)+(2*10*AH21)-(5*2*AH21)</f>
        <v>1100</v>
      </c>
      <c r="AO21" s="629">
        <f t="shared" ref="AO21:AO23" si="25">AN21/1000</f>
        <v>1.1000000000000001</v>
      </c>
      <c r="AP21" s="782">
        <f>AO21+AO22+AO23</f>
        <v>3.7240000000000002</v>
      </c>
      <c r="AS21" s="632" t="s">
        <v>663</v>
      </c>
      <c r="AT21" s="633" t="s">
        <v>664</v>
      </c>
    </row>
    <row r="22" spans="1:46" ht="11.25" customHeight="1">
      <c r="A22" s="783" t="s">
        <v>397</v>
      </c>
      <c r="B22" s="784">
        <f>AF22</f>
        <v>8.2620000000000005</v>
      </c>
      <c r="C22" s="785" t="s">
        <v>422</v>
      </c>
      <c r="D22" s="786" t="s">
        <v>665</v>
      </c>
      <c r="E22" s="784">
        <f>AF23</f>
        <v>1</v>
      </c>
      <c r="F22" s="783">
        <f>M22</f>
        <v>250</v>
      </c>
      <c r="G22" s="787" t="s">
        <v>666</v>
      </c>
      <c r="H22" s="788">
        <f>M23</f>
        <v>450</v>
      </c>
      <c r="I22" s="783">
        <f>M24</f>
        <v>1</v>
      </c>
      <c r="J22" s="787">
        <v>0</v>
      </c>
      <c r="K22" s="785"/>
      <c r="L22" s="54" t="s">
        <v>384</v>
      </c>
      <c r="M22" s="55">
        <v>250</v>
      </c>
      <c r="N22" s="789" t="str">
        <f>A22</f>
        <v>TB3</v>
      </c>
      <c r="O22" s="790">
        <v>4.2069999999999999</v>
      </c>
      <c r="P22" s="790">
        <v>4.0549999999999997</v>
      </c>
      <c r="Q22" s="790"/>
      <c r="R22" s="790"/>
      <c r="S22" s="790"/>
      <c r="T22" s="790"/>
      <c r="U22" s="790"/>
      <c r="V22" s="42"/>
      <c r="W22" s="42"/>
      <c r="X22" s="42"/>
      <c r="Y22" s="42"/>
      <c r="Z22" s="42"/>
      <c r="AA22" s="42"/>
      <c r="AB22" s="42"/>
      <c r="AC22" s="42"/>
      <c r="AD22" s="42"/>
      <c r="AE22" s="42"/>
      <c r="AF22" s="783">
        <f>SUM(O22:AE22)</f>
        <v>8.2620000000000005</v>
      </c>
      <c r="AG22" s="987"/>
      <c r="AH22" s="625">
        <v>10</v>
      </c>
      <c r="AI22" s="626">
        <v>256</v>
      </c>
      <c r="AJ22" s="626">
        <f>AJ21</f>
        <v>450</v>
      </c>
      <c r="AK22" s="627">
        <v>50</v>
      </c>
      <c r="AL22" s="628">
        <f>AI22</f>
        <v>256</v>
      </c>
      <c r="AM22" s="628">
        <f>AJ22-(2*AK22)</f>
        <v>350</v>
      </c>
      <c r="AN22" s="629">
        <f>2*(AL22+AM22)+(2*10*AH22)-(5*2*AH22)</f>
        <v>1312</v>
      </c>
      <c r="AO22" s="629">
        <f t="shared" si="25"/>
        <v>1.3120000000000001</v>
      </c>
      <c r="AP22" s="791"/>
      <c r="AS22" s="632" t="s">
        <v>667</v>
      </c>
      <c r="AT22" s="633" t="s">
        <v>664</v>
      </c>
    </row>
    <row r="23" spans="1:46">
      <c r="A23" s="630" t="s">
        <v>668</v>
      </c>
      <c r="B23" s="28">
        <v>16</v>
      </c>
      <c r="C23" s="28">
        <v>6</v>
      </c>
      <c r="D23" s="29">
        <f>B22</f>
        <v>8.2620000000000005</v>
      </c>
      <c r="E23" s="26">
        <v>10</v>
      </c>
      <c r="F23" s="26">
        <f>((10*B23)*E22*C23)/1000</f>
        <v>0.96</v>
      </c>
      <c r="G23" s="26"/>
      <c r="H23" s="26">
        <f>(D23/6)*(0.04*B23)</f>
        <v>0.88128000000000006</v>
      </c>
      <c r="I23" s="26">
        <f>C23*(D23+F23+H23)</f>
        <v>60.61968000000001</v>
      </c>
      <c r="J23" s="26">
        <f t="shared" ref="J23:J28" si="26">B23*B23/162</f>
        <v>1.5802469135802468</v>
      </c>
      <c r="K23" s="27">
        <f t="shared" ref="K23:K28" si="27">(I23*J23)/1000</f>
        <v>9.579406222222224E-2</v>
      </c>
      <c r="L23" s="54" t="s">
        <v>385</v>
      </c>
      <c r="M23" s="55">
        <v>450</v>
      </c>
      <c r="N23" s="631" t="s">
        <v>667</v>
      </c>
      <c r="O23" s="42">
        <v>0</v>
      </c>
      <c r="P23" s="42">
        <v>1</v>
      </c>
      <c r="Q23" s="42"/>
      <c r="R23" s="42"/>
      <c r="S23" s="42"/>
      <c r="T23" s="42"/>
      <c r="U23" s="42"/>
      <c r="V23" s="42"/>
      <c r="W23" s="42"/>
      <c r="X23" s="42"/>
      <c r="Y23" s="42"/>
      <c r="Z23" s="42"/>
      <c r="AA23" s="42"/>
      <c r="AB23" s="42"/>
      <c r="AC23" s="42"/>
      <c r="AD23" s="42"/>
      <c r="AE23" s="42"/>
      <c r="AF23" s="783">
        <f>SUM(O23:AE23)</f>
        <v>1</v>
      </c>
      <c r="AG23" s="988"/>
      <c r="AH23" s="625">
        <v>10</v>
      </c>
      <c r="AI23" s="626">
        <v>256</v>
      </c>
      <c r="AJ23" s="626">
        <f>AJ21</f>
        <v>450</v>
      </c>
      <c r="AK23" s="627">
        <v>50</v>
      </c>
      <c r="AL23" s="628">
        <f>AI23</f>
        <v>256</v>
      </c>
      <c r="AM23" s="628">
        <f>AJ23-(2*AK23)</f>
        <v>350</v>
      </c>
      <c r="AN23" s="629">
        <f>2*(AL23+AM23)+(2*10*AH23)-(5*2*AH23)</f>
        <v>1312</v>
      </c>
      <c r="AO23" s="629">
        <f t="shared" si="25"/>
        <v>1.3120000000000001</v>
      </c>
      <c r="AP23" s="53"/>
      <c r="AS23" s="632" t="s">
        <v>669</v>
      </c>
      <c r="AT23" s="633" t="s">
        <v>664</v>
      </c>
    </row>
    <row r="24" spans="1:46">
      <c r="A24" s="630"/>
      <c r="B24" s="28">
        <v>16</v>
      </c>
      <c r="C24" s="28">
        <v>6</v>
      </c>
      <c r="D24" s="29">
        <f>B22</f>
        <v>8.2620000000000005</v>
      </c>
      <c r="E24" s="26">
        <v>10</v>
      </c>
      <c r="F24" s="26">
        <f>((10*B24)*E22*C24)/1000</f>
        <v>0.96</v>
      </c>
      <c r="G24" s="26"/>
      <c r="H24" s="26">
        <f>(D24/6)*(0.04*B24)</f>
        <v>0.88128000000000006</v>
      </c>
      <c r="I24" s="26">
        <f>C24*(D24+F24+H24)</f>
        <v>60.61968000000001</v>
      </c>
      <c r="J24" s="26">
        <f t="shared" si="26"/>
        <v>1.5802469135802468</v>
      </c>
      <c r="K24" s="27">
        <f t="shared" si="27"/>
        <v>9.579406222222224E-2</v>
      </c>
      <c r="L24" s="54" t="s">
        <v>670</v>
      </c>
      <c r="M24" s="55">
        <v>1</v>
      </c>
      <c r="N24" s="631" t="s">
        <v>671</v>
      </c>
      <c r="O24" s="46">
        <f t="shared" ref="O24:P24" si="28">O22*0.7</f>
        <v>2.9448999999999996</v>
      </c>
      <c r="P24" s="46">
        <f t="shared" si="28"/>
        <v>2.8384999999999998</v>
      </c>
      <c r="Q24" s="46"/>
      <c r="R24" s="46"/>
      <c r="S24" s="46"/>
      <c r="T24" s="46"/>
      <c r="U24" s="46"/>
      <c r="V24" s="46"/>
      <c r="W24" s="46"/>
      <c r="X24" s="46"/>
      <c r="Y24" s="46"/>
      <c r="Z24" s="46"/>
      <c r="AA24" s="46"/>
      <c r="AB24" s="46"/>
      <c r="AC24" s="46"/>
      <c r="AD24" s="46"/>
      <c r="AE24" s="46"/>
      <c r="AF24" s="47"/>
      <c r="AS24" s="632" t="s">
        <v>672</v>
      </c>
      <c r="AT24" s="633" t="s">
        <v>664</v>
      </c>
    </row>
    <row r="25" spans="1:46">
      <c r="A25" s="630"/>
      <c r="B25" s="28">
        <v>16</v>
      </c>
      <c r="C25" s="28">
        <v>4</v>
      </c>
      <c r="D25" s="29">
        <f>B23</f>
        <v>16</v>
      </c>
      <c r="E25" s="26">
        <v>10</v>
      </c>
      <c r="F25" s="26">
        <f>((10*B25)*E23*C25)/1000</f>
        <v>6.4</v>
      </c>
      <c r="G25" s="26"/>
      <c r="H25" s="26">
        <f>(D25/6)*(0.04*B25)</f>
        <v>1.7066666666666666</v>
      </c>
      <c r="I25" s="26">
        <f>C25*(D25+F25+H25)</f>
        <v>96.426666666666662</v>
      </c>
      <c r="J25" s="26">
        <f t="shared" si="26"/>
        <v>1.5802469135802468</v>
      </c>
      <c r="K25" s="27">
        <f t="shared" si="27"/>
        <v>0.15237794238683125</v>
      </c>
      <c r="L25" s="54"/>
      <c r="M25" s="55"/>
      <c r="N25" s="631"/>
      <c r="O25" s="46"/>
      <c r="P25" s="46"/>
      <c r="Q25" s="46"/>
      <c r="R25" s="46"/>
      <c r="S25" s="46"/>
      <c r="T25" s="46"/>
      <c r="U25" s="46"/>
      <c r="V25" s="46"/>
      <c r="W25" s="46"/>
      <c r="X25" s="46"/>
      <c r="Y25" s="46"/>
      <c r="Z25" s="46"/>
      <c r="AA25" s="46"/>
      <c r="AB25" s="46"/>
      <c r="AC25" s="46"/>
      <c r="AD25" s="46"/>
      <c r="AE25" s="46"/>
      <c r="AF25" s="47"/>
      <c r="AS25" s="632"/>
      <c r="AT25" s="633"/>
    </row>
    <row r="26" spans="1:46">
      <c r="A26" s="630" t="s">
        <v>683</v>
      </c>
      <c r="B26" s="28">
        <v>16</v>
      </c>
      <c r="C26" s="28">
        <v>2</v>
      </c>
      <c r="D26" s="30">
        <f>AF26</f>
        <v>6</v>
      </c>
      <c r="E26" s="26"/>
      <c r="F26" s="26"/>
      <c r="G26" s="26"/>
      <c r="H26" s="26">
        <f>(D26/6)*(0.04*B26)</f>
        <v>0.64</v>
      </c>
      <c r="I26" s="26">
        <f>C26*(D26+F26+H26)</f>
        <v>13.28</v>
      </c>
      <c r="J26" s="26">
        <f t="shared" si="26"/>
        <v>1.5802469135802468</v>
      </c>
      <c r="K26" s="27">
        <f t="shared" si="27"/>
        <v>2.0985679012345677E-2</v>
      </c>
      <c r="L26" s="54" t="s">
        <v>674</v>
      </c>
      <c r="M26" s="55">
        <v>0.15</v>
      </c>
      <c r="N26" s="631" t="s">
        <v>675</v>
      </c>
      <c r="O26" s="49">
        <v>3</v>
      </c>
      <c r="P26" s="49">
        <v>3</v>
      </c>
      <c r="Q26" s="49"/>
      <c r="R26" s="49"/>
      <c r="S26" s="49"/>
      <c r="T26" s="49"/>
      <c r="U26" s="49"/>
      <c r="V26" s="42"/>
      <c r="W26" s="42"/>
      <c r="X26" s="42"/>
      <c r="Y26" s="42"/>
      <c r="Z26" s="42"/>
      <c r="AA26" s="42"/>
      <c r="AB26" s="42"/>
      <c r="AC26" s="42"/>
      <c r="AD26" s="42"/>
      <c r="AE26" s="42"/>
      <c r="AF26" s="783">
        <f>SUM(O26:AE26)</f>
        <v>6</v>
      </c>
      <c r="AS26" s="632" t="s">
        <v>676</v>
      </c>
      <c r="AT26" s="633" t="s">
        <v>664</v>
      </c>
    </row>
    <row r="27" spans="1:46">
      <c r="A27" s="630" t="s">
        <v>677</v>
      </c>
      <c r="B27" s="28">
        <v>16</v>
      </c>
      <c r="C27" s="28">
        <v>6</v>
      </c>
      <c r="D27" s="30">
        <f>AF28</f>
        <v>3</v>
      </c>
      <c r="E27" s="26">
        <v>10</v>
      </c>
      <c r="F27" s="26">
        <f>((10*B27)*E22*C27)/1000</f>
        <v>0.96</v>
      </c>
      <c r="G27" s="26"/>
      <c r="H27" s="26">
        <f>(D27/6)*(0.04*B27)</f>
        <v>0.32</v>
      </c>
      <c r="I27" s="26">
        <f>C27*(D27+F27+H27)</f>
        <v>25.68</v>
      </c>
      <c r="J27" s="26">
        <f t="shared" si="26"/>
        <v>1.5802469135802468</v>
      </c>
      <c r="K27" s="27">
        <f t="shared" si="27"/>
        <v>4.0580740740740737E-2</v>
      </c>
      <c r="L27" s="54" t="s">
        <v>678</v>
      </c>
      <c r="M27" s="55">
        <f>AP21</f>
        <v>3.7240000000000002</v>
      </c>
      <c r="N27" s="631" t="s">
        <v>679</v>
      </c>
      <c r="O27" s="46">
        <f t="shared" ref="O27:P27" si="29">O22*0.35</f>
        <v>1.4724499999999998</v>
      </c>
      <c r="P27" s="46">
        <f t="shared" si="29"/>
        <v>1.4192499999999999</v>
      </c>
      <c r="Q27" s="46"/>
      <c r="R27" s="46"/>
      <c r="S27" s="46"/>
      <c r="T27" s="46"/>
      <c r="U27" s="46"/>
      <c r="V27" s="46"/>
      <c r="W27" s="46"/>
      <c r="X27" s="46"/>
      <c r="Y27" s="46"/>
      <c r="Z27" s="46"/>
      <c r="AA27" s="46"/>
      <c r="AB27" s="46"/>
      <c r="AC27" s="46"/>
      <c r="AD27" s="46"/>
      <c r="AE27" s="46"/>
      <c r="AF27" s="47"/>
      <c r="AS27" s="632" t="s">
        <v>680</v>
      </c>
      <c r="AT27" s="633" t="s">
        <v>664</v>
      </c>
    </row>
    <row r="28" spans="1:46">
      <c r="A28" s="45">
        <f>M26</f>
        <v>0.15</v>
      </c>
      <c r="B28" s="31">
        <v>6</v>
      </c>
      <c r="C28" s="32">
        <f>(B22/A28)*I22</f>
        <v>55.080000000000005</v>
      </c>
      <c r="D28" s="33">
        <f>M27</f>
        <v>3.7240000000000002</v>
      </c>
      <c r="E28" s="32"/>
      <c r="F28" s="32"/>
      <c r="G28" s="32"/>
      <c r="H28" s="32"/>
      <c r="I28" s="32">
        <f>D28*C28</f>
        <v>205.11792000000003</v>
      </c>
      <c r="J28" s="32">
        <f t="shared" si="26"/>
        <v>0.22222222222222221</v>
      </c>
      <c r="K28" s="34">
        <f t="shared" si="27"/>
        <v>4.5581760000000006E-2</v>
      </c>
      <c r="L28" s="337"/>
      <c r="M28" s="338"/>
      <c r="N28" s="48" t="s">
        <v>681</v>
      </c>
      <c r="O28" s="43">
        <v>1.5</v>
      </c>
      <c r="P28" s="43">
        <v>1.5</v>
      </c>
      <c r="Q28" s="43"/>
      <c r="R28" s="43"/>
      <c r="S28" s="43"/>
      <c r="T28" s="43"/>
      <c r="U28" s="43"/>
      <c r="V28" s="43"/>
      <c r="W28" s="43"/>
      <c r="X28" s="43"/>
      <c r="Y28" s="43"/>
      <c r="Z28" s="43"/>
      <c r="AA28" s="43"/>
      <c r="AB28" s="43"/>
      <c r="AC28" s="43"/>
      <c r="AD28" s="43"/>
      <c r="AE28" s="43"/>
      <c r="AF28" s="783">
        <f>SUM(O28:AE28)</f>
        <v>3</v>
      </c>
      <c r="AS28" s="632" t="s">
        <v>682</v>
      </c>
      <c r="AT28" s="633" t="s">
        <v>664</v>
      </c>
    </row>
    <row r="29" spans="1:46">
      <c r="A29" s="974"/>
      <c r="B29" s="975"/>
      <c r="C29" s="975"/>
      <c r="D29" s="975"/>
      <c r="E29" s="975"/>
      <c r="F29" s="975"/>
      <c r="G29" s="975"/>
      <c r="H29" s="975"/>
      <c r="I29" s="975"/>
      <c r="J29" s="975"/>
      <c r="K29" s="976"/>
    </row>
    <row r="30" spans="1:46">
      <c r="A30" s="623"/>
      <c r="B30" s="623"/>
      <c r="C30" s="623"/>
      <c r="D30" s="623"/>
      <c r="E30" s="623"/>
      <c r="F30" s="606"/>
      <c r="G30" s="606"/>
      <c r="H30" s="624"/>
      <c r="I30" s="624"/>
      <c r="J30" s="624"/>
      <c r="K30" s="623"/>
    </row>
    <row r="31" spans="1:46">
      <c r="A31" s="39"/>
      <c r="B31" s="40"/>
      <c r="C31" s="40"/>
      <c r="D31" s="41"/>
      <c r="E31" s="40"/>
      <c r="F31" s="982" t="s">
        <v>684</v>
      </c>
      <c r="G31" s="983"/>
      <c r="H31" s="977" t="s">
        <v>685</v>
      </c>
      <c r="I31" s="978"/>
      <c r="J31" s="792" t="s">
        <v>686</v>
      </c>
      <c r="K31" s="40"/>
    </row>
    <row r="32" spans="1:46">
      <c r="A32" s="39"/>
      <c r="B32" s="40"/>
      <c r="C32" s="40"/>
      <c r="D32" s="41"/>
      <c r="E32" s="40"/>
      <c r="F32" s="984"/>
      <c r="G32" s="985"/>
      <c r="H32" s="793">
        <v>6</v>
      </c>
      <c r="I32" s="792">
        <f t="shared" ref="I32:I37" si="30">SUMIF($B$5:$B$10,H32,$K$5:$K$10)</f>
        <v>1.1975265422222225</v>
      </c>
      <c r="J32" s="792">
        <f>I32*1000</f>
        <v>1197.5265422222226</v>
      </c>
      <c r="K32" s="40"/>
    </row>
    <row r="33" spans="1:46">
      <c r="A33" s="39"/>
      <c r="B33" s="40"/>
      <c r="C33" s="40"/>
      <c r="D33" s="41"/>
      <c r="E33" s="40"/>
      <c r="F33" s="984"/>
      <c r="G33" s="985"/>
      <c r="H33" s="793">
        <v>10</v>
      </c>
      <c r="I33" s="792">
        <f t="shared" si="30"/>
        <v>0</v>
      </c>
      <c r="J33" s="792">
        <f t="shared" ref="J33:J37" si="31">I33*1000</f>
        <v>0</v>
      </c>
      <c r="K33" s="40"/>
    </row>
    <row r="34" spans="1:46">
      <c r="A34" s="39"/>
      <c r="B34" s="40"/>
      <c r="C34" s="40"/>
      <c r="D34" s="41"/>
      <c r="E34" s="40"/>
      <c r="F34" s="984"/>
      <c r="G34" s="985"/>
      <c r="H34" s="793">
        <v>12</v>
      </c>
      <c r="I34" s="792">
        <f t="shared" si="30"/>
        <v>7.8506666666666669E-2</v>
      </c>
      <c r="J34" s="792">
        <f t="shared" si="31"/>
        <v>78.506666666666675</v>
      </c>
      <c r="K34" s="40"/>
    </row>
    <row r="35" spans="1:46">
      <c r="A35" s="39"/>
      <c r="B35" s="40"/>
      <c r="C35" s="40"/>
      <c r="D35" s="41"/>
      <c r="E35" s="40"/>
      <c r="F35" s="984"/>
      <c r="G35" s="985"/>
      <c r="H35" s="793">
        <v>16</v>
      </c>
      <c r="I35" s="792">
        <f t="shared" si="30"/>
        <v>2.5252879170370375</v>
      </c>
      <c r="J35" s="792">
        <f t="shared" si="31"/>
        <v>2525.2879170370375</v>
      </c>
      <c r="K35" s="40"/>
    </row>
    <row r="36" spans="1:46">
      <c r="A36" s="39"/>
      <c r="B36" s="40"/>
      <c r="C36" s="40"/>
      <c r="D36" s="41"/>
      <c r="E36" s="40"/>
      <c r="F36" s="984"/>
      <c r="G36" s="985"/>
      <c r="H36" s="793">
        <v>20</v>
      </c>
      <c r="I36" s="792">
        <f t="shared" si="30"/>
        <v>0</v>
      </c>
      <c r="J36" s="792">
        <f t="shared" si="31"/>
        <v>0</v>
      </c>
      <c r="K36" s="40"/>
    </row>
    <row r="37" spans="1:46">
      <c r="A37" s="39"/>
      <c r="B37" s="40"/>
      <c r="C37" s="40"/>
      <c r="D37" s="41"/>
      <c r="E37" s="40"/>
      <c r="F37" s="984"/>
      <c r="G37" s="985"/>
      <c r="H37" s="793">
        <v>25</v>
      </c>
      <c r="I37" s="792">
        <f t="shared" si="30"/>
        <v>0</v>
      </c>
      <c r="J37" s="792">
        <f t="shared" si="31"/>
        <v>0</v>
      </c>
      <c r="K37" s="40"/>
    </row>
    <row r="38" spans="1:46">
      <c r="A38" s="39"/>
      <c r="B38" s="40"/>
      <c r="C38" s="40"/>
      <c r="D38" s="41"/>
      <c r="E38" s="40"/>
      <c r="F38" s="979" t="s">
        <v>572</v>
      </c>
      <c r="G38" s="980"/>
      <c r="H38" s="981"/>
      <c r="I38" s="784">
        <f>SUM(I32:I37)</f>
        <v>3.8013211259259267</v>
      </c>
      <c r="J38" s="784">
        <f>SUM(J32:J37)</f>
        <v>3801.3211259259269</v>
      </c>
      <c r="K38" s="40"/>
    </row>
    <row r="41" spans="1:46" s="479" customFormat="1" ht="12" thickBot="1">
      <c r="A41" s="474" t="s">
        <v>687</v>
      </c>
      <c r="B41" s="475"/>
      <c r="C41" s="476"/>
      <c r="D41" s="477"/>
      <c r="E41" s="475"/>
      <c r="F41" s="475"/>
      <c r="G41" s="475"/>
      <c r="H41" s="476"/>
      <c r="I41" s="476"/>
      <c r="J41" s="476"/>
      <c r="K41" s="478"/>
      <c r="M41" s="480"/>
      <c r="AT41" s="475"/>
    </row>
    <row r="42" spans="1:46" s="22" customFormat="1" ht="30.75" customHeight="1">
      <c r="A42" s="481" t="s">
        <v>642</v>
      </c>
      <c r="B42" s="481" t="s">
        <v>643</v>
      </c>
      <c r="C42" s="482" t="s">
        <v>644</v>
      </c>
      <c r="D42" s="481" t="s">
        <v>645</v>
      </c>
      <c r="E42" s="481" t="s">
        <v>646</v>
      </c>
      <c r="F42" s="481" t="s">
        <v>647</v>
      </c>
      <c r="G42" s="1001" t="s">
        <v>648</v>
      </c>
      <c r="H42" s="1002"/>
      <c r="I42" s="482" t="s">
        <v>649</v>
      </c>
      <c r="J42" s="482" t="s">
        <v>650</v>
      </c>
      <c r="K42" s="483" t="s">
        <v>651</v>
      </c>
      <c r="L42" s="971" t="s">
        <v>652</v>
      </c>
      <c r="M42" s="972"/>
      <c r="N42" s="973" t="s">
        <v>653</v>
      </c>
      <c r="O42" s="973"/>
      <c r="P42" s="973"/>
      <c r="Q42" s="973"/>
      <c r="R42" s="973"/>
      <c r="S42" s="973"/>
      <c r="T42" s="973"/>
      <c r="U42" s="973"/>
      <c r="V42" s="973"/>
      <c r="W42" s="973"/>
      <c r="X42" s="973"/>
      <c r="Y42" s="973"/>
      <c r="Z42" s="973"/>
      <c r="AA42" s="973"/>
      <c r="AB42" s="973"/>
      <c r="AC42" s="973"/>
      <c r="AD42" s="973"/>
      <c r="AE42" s="973"/>
      <c r="AF42" s="973"/>
      <c r="AG42" s="484" t="s">
        <v>688</v>
      </c>
      <c r="AH42" s="484" t="s">
        <v>382</v>
      </c>
      <c r="AI42" s="484" t="s">
        <v>654</v>
      </c>
      <c r="AJ42" s="484" t="s">
        <v>384</v>
      </c>
      <c r="AK42" s="484" t="s">
        <v>385</v>
      </c>
      <c r="AL42" s="484" t="s">
        <v>655</v>
      </c>
      <c r="AM42" s="484" t="s">
        <v>656</v>
      </c>
      <c r="AN42" s="484" t="s">
        <v>657</v>
      </c>
      <c r="AO42" s="485" t="s">
        <v>658</v>
      </c>
      <c r="AP42" s="485" t="s">
        <v>659</v>
      </c>
    </row>
    <row r="43" spans="1:46">
      <c r="A43" s="794"/>
      <c r="B43" s="795"/>
      <c r="C43" s="795"/>
      <c r="D43" s="796"/>
      <c r="E43" s="795"/>
      <c r="F43" s="795"/>
      <c r="G43" s="795"/>
      <c r="H43" s="795"/>
      <c r="I43" s="501" t="s">
        <v>689</v>
      </c>
      <c r="J43" s="501" t="s">
        <v>690</v>
      </c>
      <c r="K43" s="797"/>
      <c r="L43" s="527"/>
      <c r="M43" s="528"/>
      <c r="N43" s="529" t="s">
        <v>691</v>
      </c>
      <c r="O43" s="530"/>
      <c r="P43" s="531"/>
      <c r="Q43" s="531"/>
      <c r="R43" s="531"/>
      <c r="S43" s="531"/>
      <c r="T43" s="531"/>
      <c r="U43" s="531"/>
      <c r="V43" s="531"/>
      <c r="W43" s="531"/>
      <c r="X43" s="531"/>
      <c r="Y43" s="531"/>
      <c r="Z43" s="531"/>
      <c r="AA43" s="531"/>
      <c r="AB43" s="531"/>
      <c r="AC43" s="531"/>
      <c r="AD43" s="531"/>
      <c r="AE43" s="531"/>
      <c r="AF43" s="532"/>
      <c r="AG43" s="533"/>
      <c r="AH43" s="534"/>
      <c r="AI43" s="535"/>
      <c r="AJ43" s="536"/>
      <c r="AK43" s="536"/>
      <c r="AL43" s="536"/>
      <c r="AM43" s="536"/>
      <c r="AN43" s="536"/>
      <c r="AO43" s="536"/>
      <c r="AP43" s="537"/>
      <c r="AS43" s="632" t="s">
        <v>663</v>
      </c>
      <c r="AT43" s="633" t="s">
        <v>664</v>
      </c>
    </row>
    <row r="44" spans="1:46" ht="11.25" customHeight="1">
      <c r="A44" s="798" t="str">
        <f>N44</f>
        <v>B1</v>
      </c>
      <c r="B44" s="501">
        <f>AF44</f>
        <v>14.645</v>
      </c>
      <c r="C44" s="799" t="s">
        <v>422</v>
      </c>
      <c r="D44" s="800" t="s">
        <v>665</v>
      </c>
      <c r="E44" s="501">
        <f>AF45</f>
        <v>2</v>
      </c>
      <c r="F44" s="798">
        <f>M44</f>
        <v>200</v>
      </c>
      <c r="G44" s="501" t="s">
        <v>666</v>
      </c>
      <c r="H44" s="801">
        <f>M45</f>
        <v>400</v>
      </c>
      <c r="I44" s="501">
        <f>M46</f>
        <v>2</v>
      </c>
      <c r="J44" s="501">
        <f>M47</f>
        <v>2</v>
      </c>
      <c r="K44" s="799"/>
      <c r="L44" s="54" t="s">
        <v>384</v>
      </c>
      <c r="M44" s="55">
        <v>200</v>
      </c>
      <c r="N44" s="504" t="s">
        <v>692</v>
      </c>
      <c r="O44" s="503">
        <v>4.0449999999999999</v>
      </c>
      <c r="P44" s="503">
        <f>4*2.65</f>
        <v>10.6</v>
      </c>
      <c r="Q44" s="503">
        <v>0</v>
      </c>
      <c r="R44" s="503">
        <v>0</v>
      </c>
      <c r="S44" s="503">
        <v>0</v>
      </c>
      <c r="T44" s="503">
        <v>0</v>
      </c>
      <c r="U44" s="503">
        <v>0</v>
      </c>
      <c r="V44" s="503">
        <v>0</v>
      </c>
      <c r="W44" s="503">
        <v>0</v>
      </c>
      <c r="X44" s="503">
        <v>0</v>
      </c>
      <c r="Y44" s="503">
        <v>0</v>
      </c>
      <c r="Z44" s="503">
        <v>0</v>
      </c>
      <c r="AA44" s="503">
        <v>0</v>
      </c>
      <c r="AB44" s="503">
        <v>0</v>
      </c>
      <c r="AC44" s="503">
        <v>0</v>
      </c>
      <c r="AD44" s="503">
        <v>0</v>
      </c>
      <c r="AE44" s="503">
        <v>0</v>
      </c>
      <c r="AF44" s="502">
        <f>SUM(O44:AE44)</f>
        <v>14.645</v>
      </c>
      <c r="AG44" s="968" t="s">
        <v>693</v>
      </c>
      <c r="AH44" s="538" t="s">
        <v>692</v>
      </c>
      <c r="AI44" s="539">
        <v>6</v>
      </c>
      <c r="AJ44" s="540">
        <v>200</v>
      </c>
      <c r="AK44" s="540">
        <v>350</v>
      </c>
      <c r="AL44" s="540">
        <v>35</v>
      </c>
      <c r="AM44" s="541">
        <f t="shared" ref="AM44:AM51" si="32">AJ44-(2*AL44)</f>
        <v>130</v>
      </c>
      <c r="AN44" s="541">
        <f t="shared" ref="AN44:AN51" si="33">AK44-(2*AL44)</f>
        <v>280</v>
      </c>
      <c r="AO44" s="542">
        <f t="shared" ref="AO44:AO51" si="34">2*(AM44+AN44)+(2*10*AI44)-(5*2*AI44)</f>
        <v>880</v>
      </c>
      <c r="AP44" s="542">
        <f t="shared" ref="AP44:AP51" si="35">AO44/1000</f>
        <v>0.88</v>
      </c>
      <c r="AS44" s="632" t="s">
        <v>667</v>
      </c>
      <c r="AT44" s="633" t="s">
        <v>664</v>
      </c>
    </row>
    <row r="45" spans="1:46">
      <c r="A45" s="802" t="s">
        <v>668</v>
      </c>
      <c r="B45" s="493">
        <v>16</v>
      </c>
      <c r="C45" s="496">
        <v>2</v>
      </c>
      <c r="D45" s="486">
        <f>B44</f>
        <v>14.645</v>
      </c>
      <c r="E45" s="488">
        <v>10</v>
      </c>
      <c r="F45" s="488">
        <f>((10*B45)*E44*C45)/1000</f>
        <v>0.64</v>
      </c>
      <c r="G45" s="488"/>
      <c r="H45" s="488">
        <f>(D45/6)*(0.04*B45)</f>
        <v>1.5621333333333334</v>
      </c>
      <c r="I45" s="488">
        <f>C45*(D45+F45+H45)</f>
        <v>33.694266666666664</v>
      </c>
      <c r="J45" s="488">
        <f t="shared" ref="J45:J50" si="36">B45*B45/162</f>
        <v>1.5802469135802468</v>
      </c>
      <c r="K45" s="489">
        <f t="shared" ref="K45:K50" si="37">(I45*J45)/1000</f>
        <v>5.3245260905349791E-2</v>
      </c>
      <c r="L45" s="54" t="s">
        <v>385</v>
      </c>
      <c r="M45" s="55">
        <v>400</v>
      </c>
      <c r="N45" s="505" t="s">
        <v>667</v>
      </c>
      <c r="O45" s="503">
        <v>1</v>
      </c>
      <c r="P45" s="503">
        <v>1</v>
      </c>
      <c r="Q45" s="503">
        <v>0</v>
      </c>
      <c r="R45" s="503">
        <v>0</v>
      </c>
      <c r="S45" s="503">
        <v>0</v>
      </c>
      <c r="T45" s="503">
        <v>0</v>
      </c>
      <c r="U45" s="503">
        <v>0</v>
      </c>
      <c r="V45" s="503">
        <v>0</v>
      </c>
      <c r="W45" s="503">
        <v>0</v>
      </c>
      <c r="X45" s="503">
        <v>0</v>
      </c>
      <c r="Y45" s="503">
        <v>0</v>
      </c>
      <c r="Z45" s="503">
        <v>0</v>
      </c>
      <c r="AA45" s="503">
        <v>0</v>
      </c>
      <c r="AB45" s="503">
        <v>0</v>
      </c>
      <c r="AC45" s="503">
        <v>0</v>
      </c>
      <c r="AD45" s="503">
        <v>0</v>
      </c>
      <c r="AE45" s="503">
        <v>0</v>
      </c>
      <c r="AF45" s="502">
        <f>SUM(O45:AE45)</f>
        <v>2</v>
      </c>
      <c r="AG45" s="969"/>
      <c r="AH45" s="519">
        <v>0</v>
      </c>
      <c r="AI45" s="520">
        <v>0</v>
      </c>
      <c r="AJ45" s="521">
        <v>0</v>
      </c>
      <c r="AK45" s="521">
        <v>0</v>
      </c>
      <c r="AL45" s="521">
        <v>0</v>
      </c>
      <c r="AM45" s="367">
        <f t="shared" si="32"/>
        <v>0</v>
      </c>
      <c r="AN45" s="367">
        <f t="shared" si="33"/>
        <v>0</v>
      </c>
      <c r="AO45" s="522">
        <f t="shared" si="34"/>
        <v>0</v>
      </c>
      <c r="AP45" s="522">
        <f t="shared" si="35"/>
        <v>0</v>
      </c>
      <c r="AS45" s="632" t="s">
        <v>669</v>
      </c>
      <c r="AT45" s="633" t="s">
        <v>664</v>
      </c>
    </row>
    <row r="46" spans="1:46">
      <c r="A46" s="802"/>
      <c r="B46" s="494">
        <v>16</v>
      </c>
      <c r="C46" s="497">
        <v>2</v>
      </c>
      <c r="D46" s="486">
        <f>B44</f>
        <v>14.645</v>
      </c>
      <c r="E46" s="488">
        <v>10</v>
      </c>
      <c r="F46" s="488">
        <f>((10*B46)*E44*C46)/1000</f>
        <v>0.64</v>
      </c>
      <c r="G46" s="488"/>
      <c r="H46" s="488">
        <f>(D46/6)*(0.04*B46)</f>
        <v>1.5621333333333334</v>
      </c>
      <c r="I46" s="488">
        <f>C46*(D46+F46+H46)</f>
        <v>33.694266666666664</v>
      </c>
      <c r="J46" s="488">
        <f t="shared" si="36"/>
        <v>1.5802469135802468</v>
      </c>
      <c r="K46" s="489">
        <f t="shared" si="37"/>
        <v>5.3245260905349791E-2</v>
      </c>
      <c r="L46" s="54" t="s">
        <v>694</v>
      </c>
      <c r="M46" s="55">
        <v>2</v>
      </c>
      <c r="N46" s="505" t="s">
        <v>671</v>
      </c>
      <c r="O46" s="511">
        <f t="shared" ref="O46" si="38">O44*0.7</f>
        <v>2.8314999999999997</v>
      </c>
      <c r="P46" s="511">
        <f t="shared" ref="P46:AC46" si="39">P44*0.7</f>
        <v>7.419999999999999</v>
      </c>
      <c r="Q46" s="511">
        <f t="shared" si="39"/>
        <v>0</v>
      </c>
      <c r="R46" s="511">
        <f t="shared" si="39"/>
        <v>0</v>
      </c>
      <c r="S46" s="511">
        <f t="shared" si="39"/>
        <v>0</v>
      </c>
      <c r="T46" s="511">
        <f t="shared" si="39"/>
        <v>0</v>
      </c>
      <c r="U46" s="511">
        <f t="shared" si="39"/>
        <v>0</v>
      </c>
      <c r="V46" s="511">
        <f t="shared" si="39"/>
        <v>0</v>
      </c>
      <c r="W46" s="511">
        <f t="shared" si="39"/>
        <v>0</v>
      </c>
      <c r="X46" s="511">
        <f t="shared" si="39"/>
        <v>0</v>
      </c>
      <c r="Y46" s="511">
        <f t="shared" si="39"/>
        <v>0</v>
      </c>
      <c r="Z46" s="511">
        <f t="shared" si="39"/>
        <v>0</v>
      </c>
      <c r="AA46" s="511">
        <f t="shared" si="39"/>
        <v>0</v>
      </c>
      <c r="AB46" s="511">
        <f t="shared" si="39"/>
        <v>0</v>
      </c>
      <c r="AC46" s="511">
        <f t="shared" si="39"/>
        <v>0</v>
      </c>
      <c r="AD46" s="511">
        <f t="shared" ref="AD46:AE46" si="40">AD44*0.7</f>
        <v>0</v>
      </c>
      <c r="AE46" s="511">
        <f t="shared" si="40"/>
        <v>0</v>
      </c>
      <c r="AF46" s="502"/>
      <c r="AG46" s="969"/>
      <c r="AH46" s="519">
        <v>0</v>
      </c>
      <c r="AI46" s="520">
        <v>0</v>
      </c>
      <c r="AJ46" s="521">
        <v>0</v>
      </c>
      <c r="AK46" s="521">
        <v>0</v>
      </c>
      <c r="AL46" s="521">
        <v>0</v>
      </c>
      <c r="AM46" s="367">
        <f t="shared" si="32"/>
        <v>0</v>
      </c>
      <c r="AN46" s="367">
        <f t="shared" si="33"/>
        <v>0</v>
      </c>
      <c r="AO46" s="522">
        <f t="shared" si="34"/>
        <v>0</v>
      </c>
      <c r="AP46" s="522">
        <f t="shared" si="35"/>
        <v>0</v>
      </c>
      <c r="AS46" s="632" t="s">
        <v>672</v>
      </c>
      <c r="AT46" s="633" t="s">
        <v>664</v>
      </c>
    </row>
    <row r="47" spans="1:46">
      <c r="A47" s="802" t="s">
        <v>683</v>
      </c>
      <c r="B47" s="494">
        <v>16</v>
      </c>
      <c r="C47" s="497">
        <v>2</v>
      </c>
      <c r="D47" s="486">
        <f>AF47</f>
        <v>4.5</v>
      </c>
      <c r="E47" s="488"/>
      <c r="F47" s="488"/>
      <c r="G47" s="488"/>
      <c r="H47" s="488">
        <f>(D47/6)*(0.04*B47)</f>
        <v>0.48</v>
      </c>
      <c r="I47" s="488">
        <f>C47*(D47+F47+H47)</f>
        <v>9.9600000000000009</v>
      </c>
      <c r="J47" s="488">
        <f t="shared" si="36"/>
        <v>1.5802469135802468</v>
      </c>
      <c r="K47" s="489">
        <f t="shared" si="37"/>
        <v>1.5739259259259258E-2</v>
      </c>
      <c r="L47" s="54" t="s">
        <v>695</v>
      </c>
      <c r="M47" s="55">
        <v>2</v>
      </c>
      <c r="N47" s="505" t="s">
        <v>675</v>
      </c>
      <c r="O47" s="510">
        <v>2</v>
      </c>
      <c r="P47" s="510">
        <v>2.5</v>
      </c>
      <c r="Q47" s="510">
        <v>0</v>
      </c>
      <c r="R47" s="510">
        <v>0</v>
      </c>
      <c r="S47" s="510">
        <v>0</v>
      </c>
      <c r="T47" s="510">
        <v>0</v>
      </c>
      <c r="U47" s="510">
        <v>0</v>
      </c>
      <c r="V47" s="510">
        <v>0</v>
      </c>
      <c r="W47" s="510">
        <v>0</v>
      </c>
      <c r="X47" s="510">
        <v>0</v>
      </c>
      <c r="Y47" s="510">
        <v>0</v>
      </c>
      <c r="Z47" s="510">
        <v>0</v>
      </c>
      <c r="AA47" s="510">
        <v>0</v>
      </c>
      <c r="AB47" s="510">
        <v>0</v>
      </c>
      <c r="AC47" s="510">
        <v>0</v>
      </c>
      <c r="AD47" s="510">
        <v>0</v>
      </c>
      <c r="AE47" s="510">
        <v>0</v>
      </c>
      <c r="AF47" s="502">
        <f>SUM(O47:AE47)</f>
        <v>4.5</v>
      </c>
      <c r="AG47" s="969"/>
      <c r="AH47" s="519">
        <v>0</v>
      </c>
      <c r="AI47" s="520">
        <v>0</v>
      </c>
      <c r="AJ47" s="521">
        <v>0</v>
      </c>
      <c r="AK47" s="521">
        <v>0</v>
      </c>
      <c r="AL47" s="521">
        <v>0</v>
      </c>
      <c r="AM47" s="367">
        <f t="shared" si="32"/>
        <v>0</v>
      </c>
      <c r="AN47" s="367">
        <f t="shared" si="33"/>
        <v>0</v>
      </c>
      <c r="AO47" s="522">
        <f t="shared" si="34"/>
        <v>0</v>
      </c>
      <c r="AP47" s="522">
        <f t="shared" si="35"/>
        <v>0</v>
      </c>
      <c r="AS47" s="632" t="s">
        <v>676</v>
      </c>
      <c r="AT47" s="633" t="s">
        <v>664</v>
      </c>
    </row>
    <row r="48" spans="1:46">
      <c r="A48" s="802" t="s">
        <v>677</v>
      </c>
      <c r="B48" s="494">
        <v>16</v>
      </c>
      <c r="C48" s="498">
        <v>2</v>
      </c>
      <c r="D48" s="486">
        <f>AF49</f>
        <v>2.5</v>
      </c>
      <c r="E48" s="488">
        <v>10</v>
      </c>
      <c r="F48" s="488">
        <f>((10*B48)*E44*C48)/1000</f>
        <v>0.64</v>
      </c>
      <c r="G48" s="488"/>
      <c r="H48" s="488">
        <f>(D48/6)*(0.04*B48)</f>
        <v>0.26666666666666666</v>
      </c>
      <c r="I48" s="488">
        <f>C48*(D48+F48+H48)</f>
        <v>6.8133333333333335</v>
      </c>
      <c r="J48" s="488">
        <f t="shared" si="36"/>
        <v>1.5802469135802468</v>
      </c>
      <c r="K48" s="489">
        <f t="shared" si="37"/>
        <v>1.0766748971193415E-2</v>
      </c>
      <c r="L48" s="54" t="s">
        <v>696</v>
      </c>
      <c r="M48" s="55">
        <v>0.1</v>
      </c>
      <c r="N48" s="505" t="s">
        <v>679</v>
      </c>
      <c r="O48" s="511">
        <f t="shared" ref="O48" si="41">O44*0.35</f>
        <v>1.4157499999999998</v>
      </c>
      <c r="P48" s="511">
        <f t="shared" ref="P48:AC48" si="42">P44*0.35</f>
        <v>3.7099999999999995</v>
      </c>
      <c r="Q48" s="511">
        <f t="shared" si="42"/>
        <v>0</v>
      </c>
      <c r="R48" s="511">
        <f t="shared" si="42"/>
        <v>0</v>
      </c>
      <c r="S48" s="511">
        <f t="shared" si="42"/>
        <v>0</v>
      </c>
      <c r="T48" s="511">
        <f t="shared" si="42"/>
        <v>0</v>
      </c>
      <c r="U48" s="511">
        <f t="shared" si="42"/>
        <v>0</v>
      </c>
      <c r="V48" s="511">
        <f t="shared" si="42"/>
        <v>0</v>
      </c>
      <c r="W48" s="511">
        <f t="shared" si="42"/>
        <v>0</v>
      </c>
      <c r="X48" s="511">
        <f t="shared" si="42"/>
        <v>0</v>
      </c>
      <c r="Y48" s="511">
        <f t="shared" si="42"/>
        <v>0</v>
      </c>
      <c r="Z48" s="511">
        <f t="shared" si="42"/>
        <v>0</v>
      </c>
      <c r="AA48" s="511">
        <f t="shared" si="42"/>
        <v>0</v>
      </c>
      <c r="AB48" s="511">
        <f t="shared" si="42"/>
        <v>0</v>
      </c>
      <c r="AC48" s="511">
        <f t="shared" si="42"/>
        <v>0</v>
      </c>
      <c r="AD48" s="511">
        <f t="shared" ref="AD48:AE48" si="43">AD44*0.35</f>
        <v>0</v>
      </c>
      <c r="AE48" s="511">
        <f t="shared" si="43"/>
        <v>0</v>
      </c>
      <c r="AF48" s="502"/>
      <c r="AG48" s="969"/>
      <c r="AH48" s="519">
        <v>0</v>
      </c>
      <c r="AI48" s="520">
        <v>0</v>
      </c>
      <c r="AJ48" s="521">
        <v>0</v>
      </c>
      <c r="AK48" s="521">
        <v>0</v>
      </c>
      <c r="AL48" s="521">
        <v>0</v>
      </c>
      <c r="AM48" s="367">
        <f t="shared" si="32"/>
        <v>0</v>
      </c>
      <c r="AN48" s="367">
        <f t="shared" si="33"/>
        <v>0</v>
      </c>
      <c r="AO48" s="522">
        <f t="shared" si="34"/>
        <v>0</v>
      </c>
      <c r="AP48" s="522">
        <f t="shared" si="35"/>
        <v>0</v>
      </c>
      <c r="AS48" s="632" t="s">
        <v>680</v>
      </c>
      <c r="AT48" s="633" t="s">
        <v>664</v>
      </c>
    </row>
    <row r="49" spans="1:46">
      <c r="A49" s="803">
        <f>M48</f>
        <v>0.1</v>
      </c>
      <c r="B49" s="494">
        <v>6</v>
      </c>
      <c r="C49" s="488">
        <f>(D48/A49)*I44</f>
        <v>50</v>
      </c>
      <c r="D49" s="486">
        <f>M50</f>
        <v>0.88</v>
      </c>
      <c r="E49" s="488"/>
      <c r="F49" s="488"/>
      <c r="G49" s="488"/>
      <c r="H49" s="488"/>
      <c r="I49" s="488">
        <f>D49*C49</f>
        <v>44</v>
      </c>
      <c r="J49" s="488">
        <f t="shared" si="36"/>
        <v>0.22222222222222221</v>
      </c>
      <c r="K49" s="489">
        <f t="shared" si="37"/>
        <v>9.7777777777777776E-3</v>
      </c>
      <c r="L49" s="54" t="s">
        <v>697</v>
      </c>
      <c r="M49" s="55">
        <v>0.15</v>
      </c>
      <c r="N49" s="506" t="s">
        <v>681</v>
      </c>
      <c r="O49" s="510">
        <v>1</v>
      </c>
      <c r="P49" s="510">
        <v>1.5</v>
      </c>
      <c r="Q49" s="510">
        <v>0</v>
      </c>
      <c r="R49" s="510">
        <v>0</v>
      </c>
      <c r="S49" s="510">
        <v>0</v>
      </c>
      <c r="T49" s="510">
        <v>0</v>
      </c>
      <c r="U49" s="510">
        <v>0</v>
      </c>
      <c r="V49" s="510">
        <v>0</v>
      </c>
      <c r="W49" s="510">
        <v>0</v>
      </c>
      <c r="X49" s="510">
        <v>0</v>
      </c>
      <c r="Y49" s="510">
        <v>0</v>
      </c>
      <c r="Z49" s="510">
        <v>0</v>
      </c>
      <c r="AA49" s="510">
        <v>0</v>
      </c>
      <c r="AB49" s="510">
        <v>0</v>
      </c>
      <c r="AC49" s="510">
        <v>0</v>
      </c>
      <c r="AD49" s="510">
        <v>0</v>
      </c>
      <c r="AE49" s="510">
        <v>0</v>
      </c>
      <c r="AF49" s="502">
        <f>SUM(O49:AE49)</f>
        <v>2.5</v>
      </c>
      <c r="AG49" s="969"/>
      <c r="AH49" s="519">
        <v>0</v>
      </c>
      <c r="AI49" s="520">
        <v>0</v>
      </c>
      <c r="AJ49" s="521">
        <v>0</v>
      </c>
      <c r="AK49" s="521">
        <v>0</v>
      </c>
      <c r="AL49" s="521">
        <v>0</v>
      </c>
      <c r="AM49" s="367">
        <f t="shared" si="32"/>
        <v>0</v>
      </c>
      <c r="AN49" s="367">
        <f t="shared" si="33"/>
        <v>0</v>
      </c>
      <c r="AO49" s="522">
        <f t="shared" si="34"/>
        <v>0</v>
      </c>
      <c r="AP49" s="522">
        <f t="shared" si="35"/>
        <v>0</v>
      </c>
      <c r="AS49" s="632" t="s">
        <v>682</v>
      </c>
      <c r="AT49" s="633" t="s">
        <v>664</v>
      </c>
    </row>
    <row r="50" spans="1:46">
      <c r="A50" s="490">
        <f>M49</f>
        <v>0.15</v>
      </c>
      <c r="B50" s="495">
        <v>6</v>
      </c>
      <c r="C50" s="491">
        <f>((B44-D48)/A50)*J44</f>
        <v>161.93333333333334</v>
      </c>
      <c r="D50" s="487">
        <f>M50</f>
        <v>0.88</v>
      </c>
      <c r="E50" s="491"/>
      <c r="F50" s="491"/>
      <c r="G50" s="491"/>
      <c r="H50" s="491"/>
      <c r="I50" s="491">
        <f>D50*C50</f>
        <v>142.50133333333335</v>
      </c>
      <c r="J50" s="491">
        <f t="shared" si="36"/>
        <v>0.22222222222222221</v>
      </c>
      <c r="K50" s="492">
        <f t="shared" si="37"/>
        <v>3.1666962962962966E-2</v>
      </c>
      <c r="L50" s="337" t="s">
        <v>698</v>
      </c>
      <c r="M50" s="338">
        <f>AP44</f>
        <v>0.88</v>
      </c>
      <c r="N50" s="507"/>
      <c r="O50" s="508"/>
      <c r="P50" s="508"/>
      <c r="Q50" s="508"/>
      <c r="R50" s="508"/>
      <c r="S50" s="508"/>
      <c r="T50" s="508"/>
      <c r="U50" s="508"/>
      <c r="V50" s="508"/>
      <c r="W50" s="508"/>
      <c r="X50" s="508"/>
      <c r="Y50" s="508"/>
      <c r="Z50" s="508"/>
      <c r="AA50" s="508"/>
      <c r="AB50" s="508"/>
      <c r="AC50" s="508"/>
      <c r="AD50" s="508"/>
      <c r="AE50" s="508"/>
      <c r="AF50" s="509"/>
      <c r="AG50" s="969"/>
      <c r="AH50" s="519">
        <v>0</v>
      </c>
      <c r="AI50" s="520">
        <v>0</v>
      </c>
      <c r="AJ50" s="521">
        <v>0</v>
      </c>
      <c r="AK50" s="521">
        <v>0</v>
      </c>
      <c r="AL50" s="521">
        <v>0</v>
      </c>
      <c r="AM50" s="367">
        <f t="shared" si="32"/>
        <v>0</v>
      </c>
      <c r="AN50" s="367">
        <f t="shared" si="33"/>
        <v>0</v>
      </c>
      <c r="AO50" s="522">
        <f t="shared" si="34"/>
        <v>0</v>
      </c>
      <c r="AP50" s="522">
        <f t="shared" si="35"/>
        <v>0</v>
      </c>
      <c r="AS50" s="632" t="s">
        <v>699</v>
      </c>
      <c r="AT50" s="633" t="s">
        <v>664</v>
      </c>
    </row>
    <row r="51" spans="1:46">
      <c r="A51" s="512"/>
      <c r="B51" s="513"/>
      <c r="C51" s="513"/>
      <c r="D51" s="514"/>
      <c r="E51" s="513"/>
      <c r="F51" s="513"/>
      <c r="G51" s="513"/>
      <c r="H51" s="513"/>
      <c r="I51" s="513"/>
      <c r="J51" s="513"/>
      <c r="K51" s="513"/>
      <c r="L51" s="515"/>
      <c r="M51" s="516"/>
      <c r="N51" s="515"/>
      <c r="O51" s="515"/>
      <c r="P51" s="515"/>
      <c r="Q51" s="515"/>
      <c r="R51" s="515"/>
      <c r="S51" s="515"/>
      <c r="T51" s="515"/>
      <c r="U51" s="515"/>
      <c r="V51" s="515"/>
      <c r="W51" s="515"/>
      <c r="X51" s="515"/>
      <c r="Y51" s="515"/>
      <c r="Z51" s="515"/>
      <c r="AA51" s="515"/>
      <c r="AB51" s="515"/>
      <c r="AC51" s="515"/>
      <c r="AD51" s="515"/>
      <c r="AE51" s="515"/>
      <c r="AF51" s="517"/>
      <c r="AG51" s="970"/>
      <c r="AH51" s="543">
        <v>0</v>
      </c>
      <c r="AI51" s="523">
        <v>0</v>
      </c>
      <c r="AJ51" s="524">
        <v>0</v>
      </c>
      <c r="AK51" s="524">
        <v>0</v>
      </c>
      <c r="AL51" s="524">
        <v>0</v>
      </c>
      <c r="AM51" s="525">
        <f t="shared" si="32"/>
        <v>0</v>
      </c>
      <c r="AN51" s="525">
        <f t="shared" si="33"/>
        <v>0</v>
      </c>
      <c r="AO51" s="526">
        <f t="shared" si="34"/>
        <v>0</v>
      </c>
      <c r="AP51" s="526">
        <f t="shared" si="35"/>
        <v>0</v>
      </c>
      <c r="AS51" s="499"/>
      <c r="AT51" s="500"/>
    </row>
    <row r="52" spans="1:46">
      <c r="A52" s="794"/>
      <c r="B52" s="795"/>
      <c r="C52" s="795"/>
      <c r="D52" s="796"/>
      <c r="E52" s="795"/>
      <c r="F52" s="795"/>
      <c r="G52" s="795"/>
      <c r="H52" s="795"/>
      <c r="I52" s="501" t="s">
        <v>689</v>
      </c>
      <c r="J52" s="501" t="s">
        <v>690</v>
      </c>
      <c r="K52" s="797"/>
      <c r="L52" s="527"/>
      <c r="M52" s="528"/>
      <c r="N52" s="529" t="s">
        <v>691</v>
      </c>
      <c r="O52" s="530"/>
      <c r="P52" s="531"/>
      <c r="Q52" s="531"/>
      <c r="R52" s="531"/>
      <c r="S52" s="531"/>
      <c r="T52" s="531"/>
      <c r="U52" s="531"/>
      <c r="V52" s="531"/>
      <c r="W52" s="531"/>
      <c r="X52" s="531"/>
      <c r="Y52" s="531"/>
      <c r="Z52" s="531"/>
      <c r="AA52" s="531"/>
      <c r="AB52" s="531"/>
      <c r="AC52" s="531"/>
      <c r="AD52" s="531"/>
      <c r="AE52" s="531"/>
      <c r="AF52" s="532"/>
      <c r="AG52" s="533"/>
      <c r="AH52" s="534"/>
      <c r="AI52" s="535"/>
      <c r="AJ52" s="536"/>
      <c r="AK52" s="536"/>
      <c r="AL52" s="536"/>
      <c r="AM52" s="536"/>
      <c r="AN52" s="536"/>
      <c r="AO52" s="536"/>
      <c r="AP52" s="537"/>
      <c r="AS52" s="632" t="s">
        <v>663</v>
      </c>
      <c r="AT52" s="633" t="s">
        <v>664</v>
      </c>
    </row>
    <row r="53" spans="1:46" ht="11.25" customHeight="1">
      <c r="A53" s="798" t="str">
        <f>N53</f>
        <v>B2</v>
      </c>
      <c r="B53" s="501">
        <f>AF53</f>
        <v>6.05</v>
      </c>
      <c r="C53" s="799" t="s">
        <v>422</v>
      </c>
      <c r="D53" s="800" t="s">
        <v>665</v>
      </c>
      <c r="E53" s="501">
        <f>AF54</f>
        <v>2</v>
      </c>
      <c r="F53" s="798">
        <f>M53</f>
        <v>200</v>
      </c>
      <c r="G53" s="501" t="s">
        <v>666</v>
      </c>
      <c r="H53" s="801">
        <f>M54</f>
        <v>400</v>
      </c>
      <c r="I53" s="501">
        <f>M55</f>
        <v>2</v>
      </c>
      <c r="J53" s="501">
        <f>M56</f>
        <v>1</v>
      </c>
      <c r="K53" s="799"/>
      <c r="L53" s="54" t="s">
        <v>384</v>
      </c>
      <c r="M53" s="55">
        <v>200</v>
      </c>
      <c r="N53" s="504" t="s">
        <v>700</v>
      </c>
      <c r="O53" s="503">
        <v>6.05</v>
      </c>
      <c r="P53" s="503">
        <v>0</v>
      </c>
      <c r="Q53" s="503">
        <v>0</v>
      </c>
      <c r="R53" s="503">
        <v>0</v>
      </c>
      <c r="S53" s="503">
        <v>0</v>
      </c>
      <c r="T53" s="503">
        <v>0</v>
      </c>
      <c r="U53" s="503">
        <v>0</v>
      </c>
      <c r="V53" s="503">
        <v>0</v>
      </c>
      <c r="W53" s="503">
        <v>0</v>
      </c>
      <c r="X53" s="503">
        <v>0</v>
      </c>
      <c r="Y53" s="503">
        <v>0</v>
      </c>
      <c r="Z53" s="503">
        <v>0</v>
      </c>
      <c r="AA53" s="503">
        <v>0</v>
      </c>
      <c r="AB53" s="503">
        <v>0</v>
      </c>
      <c r="AC53" s="503">
        <v>0</v>
      </c>
      <c r="AD53" s="503">
        <v>0</v>
      </c>
      <c r="AE53" s="503">
        <v>0</v>
      </c>
      <c r="AF53" s="502">
        <f>SUM(O53:AE53)</f>
        <v>6.05</v>
      </c>
      <c r="AG53" s="968" t="s">
        <v>693</v>
      </c>
      <c r="AH53" s="538" t="s">
        <v>692</v>
      </c>
      <c r="AI53" s="539">
        <v>6</v>
      </c>
      <c r="AJ53" s="540">
        <v>200</v>
      </c>
      <c r="AK53" s="540">
        <v>350</v>
      </c>
      <c r="AL53" s="540">
        <v>35</v>
      </c>
      <c r="AM53" s="541">
        <f t="shared" ref="AM53:AM60" si="44">AJ53-(2*AL53)</f>
        <v>130</v>
      </c>
      <c r="AN53" s="541">
        <f t="shared" ref="AN53:AN60" si="45">AK53-(2*AL53)</f>
        <v>280</v>
      </c>
      <c r="AO53" s="542">
        <f t="shared" ref="AO53:AO60" si="46">2*(AM53+AN53)+(2*10*AI53)-(5*2*AI53)</f>
        <v>880</v>
      </c>
      <c r="AP53" s="542">
        <f t="shared" ref="AP53:AP60" si="47">AO53/1000</f>
        <v>0.88</v>
      </c>
      <c r="AS53" s="632" t="s">
        <v>667</v>
      </c>
      <c r="AT53" s="633" t="s">
        <v>664</v>
      </c>
    </row>
    <row r="54" spans="1:46">
      <c r="A54" s="802" t="s">
        <v>668</v>
      </c>
      <c r="B54" s="493">
        <v>16</v>
      </c>
      <c r="C54" s="496">
        <v>2</v>
      </c>
      <c r="D54" s="486">
        <f>B53</f>
        <v>6.05</v>
      </c>
      <c r="E54" s="488">
        <v>10</v>
      </c>
      <c r="F54" s="488">
        <f>((10*B54)*E53*C54)/1000</f>
        <v>0.64</v>
      </c>
      <c r="G54" s="488"/>
      <c r="H54" s="488">
        <f>(D54/6)*(0.04*B54)</f>
        <v>0.64533333333333331</v>
      </c>
      <c r="I54" s="488">
        <f>C54*(D54+F54+H54)</f>
        <v>14.670666666666666</v>
      </c>
      <c r="J54" s="488">
        <f t="shared" ref="J54:J59" si="48">B54*B54/162</f>
        <v>1.5802469135802468</v>
      </c>
      <c r="K54" s="489">
        <f t="shared" ref="K54:K59" si="49">(I54*J54)/1000</f>
        <v>2.3183275720164605E-2</v>
      </c>
      <c r="L54" s="54" t="s">
        <v>385</v>
      </c>
      <c r="M54" s="55">
        <v>400</v>
      </c>
      <c r="N54" s="505" t="s">
        <v>667</v>
      </c>
      <c r="O54" s="503">
        <v>2</v>
      </c>
      <c r="P54" s="503">
        <v>0</v>
      </c>
      <c r="Q54" s="503">
        <v>0</v>
      </c>
      <c r="R54" s="503">
        <v>0</v>
      </c>
      <c r="S54" s="503">
        <v>0</v>
      </c>
      <c r="T54" s="503">
        <v>0</v>
      </c>
      <c r="U54" s="503">
        <v>0</v>
      </c>
      <c r="V54" s="503">
        <v>0</v>
      </c>
      <c r="W54" s="503">
        <v>0</v>
      </c>
      <c r="X54" s="503">
        <v>0</v>
      </c>
      <c r="Y54" s="503">
        <v>0</v>
      </c>
      <c r="Z54" s="503">
        <v>0</v>
      </c>
      <c r="AA54" s="503">
        <v>0</v>
      </c>
      <c r="AB54" s="503">
        <v>0</v>
      </c>
      <c r="AC54" s="503">
        <v>0</v>
      </c>
      <c r="AD54" s="503">
        <v>0</v>
      </c>
      <c r="AE54" s="503">
        <v>0</v>
      </c>
      <c r="AF54" s="502">
        <f>SUM(O54:AE54)</f>
        <v>2</v>
      </c>
      <c r="AG54" s="969"/>
      <c r="AH54" s="519">
        <v>0</v>
      </c>
      <c r="AI54" s="520">
        <v>0</v>
      </c>
      <c r="AJ54" s="521">
        <v>0</v>
      </c>
      <c r="AK54" s="521">
        <v>0</v>
      </c>
      <c r="AL54" s="521">
        <v>0</v>
      </c>
      <c r="AM54" s="367">
        <f t="shared" si="44"/>
        <v>0</v>
      </c>
      <c r="AN54" s="367">
        <f t="shared" si="45"/>
        <v>0</v>
      </c>
      <c r="AO54" s="522">
        <f t="shared" si="46"/>
        <v>0</v>
      </c>
      <c r="AP54" s="522">
        <f t="shared" si="47"/>
        <v>0</v>
      </c>
      <c r="AS54" s="632" t="s">
        <v>669</v>
      </c>
      <c r="AT54" s="633" t="s">
        <v>664</v>
      </c>
    </row>
    <row r="55" spans="1:46">
      <c r="A55" s="802"/>
      <c r="B55" s="494">
        <v>16</v>
      </c>
      <c r="C55" s="497">
        <v>2</v>
      </c>
      <c r="D55" s="486">
        <f>B53</f>
        <v>6.05</v>
      </c>
      <c r="E55" s="488">
        <v>10</v>
      </c>
      <c r="F55" s="488">
        <f>((10*B55)*E53*C55)/1000</f>
        <v>0.64</v>
      </c>
      <c r="G55" s="488"/>
      <c r="H55" s="488">
        <f>(D55/6)*(0.04*B55)</f>
        <v>0.64533333333333331</v>
      </c>
      <c r="I55" s="488">
        <f>C55*(D55+F55+H55)</f>
        <v>14.670666666666666</v>
      </c>
      <c r="J55" s="488">
        <f t="shared" si="48"/>
        <v>1.5802469135802468</v>
      </c>
      <c r="K55" s="489">
        <f t="shared" si="49"/>
        <v>2.3183275720164605E-2</v>
      </c>
      <c r="L55" s="54" t="s">
        <v>694</v>
      </c>
      <c r="M55" s="55">
        <v>2</v>
      </c>
      <c r="N55" s="505" t="s">
        <v>671</v>
      </c>
      <c r="O55" s="511">
        <f t="shared" ref="O55:AC55" si="50">O53*0.7</f>
        <v>4.2349999999999994</v>
      </c>
      <c r="P55" s="511">
        <f t="shared" si="50"/>
        <v>0</v>
      </c>
      <c r="Q55" s="511">
        <f t="shared" si="50"/>
        <v>0</v>
      </c>
      <c r="R55" s="511">
        <f t="shared" si="50"/>
        <v>0</v>
      </c>
      <c r="S55" s="511">
        <f t="shared" si="50"/>
        <v>0</v>
      </c>
      <c r="T55" s="511">
        <f t="shared" si="50"/>
        <v>0</v>
      </c>
      <c r="U55" s="511">
        <f t="shared" si="50"/>
        <v>0</v>
      </c>
      <c r="V55" s="511">
        <f t="shared" si="50"/>
        <v>0</v>
      </c>
      <c r="W55" s="511">
        <f t="shared" si="50"/>
        <v>0</v>
      </c>
      <c r="X55" s="511">
        <f t="shared" si="50"/>
        <v>0</v>
      </c>
      <c r="Y55" s="511">
        <f t="shared" si="50"/>
        <v>0</v>
      </c>
      <c r="Z55" s="511">
        <f t="shared" si="50"/>
        <v>0</v>
      </c>
      <c r="AA55" s="511">
        <f t="shared" si="50"/>
        <v>0</v>
      </c>
      <c r="AB55" s="511">
        <f t="shared" si="50"/>
        <v>0</v>
      </c>
      <c r="AC55" s="511">
        <f t="shared" si="50"/>
        <v>0</v>
      </c>
      <c r="AD55" s="511">
        <f t="shared" ref="AD55:AE55" si="51">AD53*0.7</f>
        <v>0</v>
      </c>
      <c r="AE55" s="511">
        <f t="shared" si="51"/>
        <v>0</v>
      </c>
      <c r="AF55" s="502"/>
      <c r="AG55" s="969"/>
      <c r="AH55" s="519">
        <v>0</v>
      </c>
      <c r="AI55" s="520">
        <v>0</v>
      </c>
      <c r="AJ55" s="521">
        <v>0</v>
      </c>
      <c r="AK55" s="521">
        <v>0</v>
      </c>
      <c r="AL55" s="521">
        <v>0</v>
      </c>
      <c r="AM55" s="367">
        <f t="shared" si="44"/>
        <v>0</v>
      </c>
      <c r="AN55" s="367">
        <f t="shared" si="45"/>
        <v>0</v>
      </c>
      <c r="AO55" s="522">
        <f t="shared" si="46"/>
        <v>0</v>
      </c>
      <c r="AP55" s="522">
        <f t="shared" si="47"/>
        <v>0</v>
      </c>
      <c r="AS55" s="632" t="s">
        <v>672</v>
      </c>
      <c r="AT55" s="633" t="s">
        <v>664</v>
      </c>
    </row>
    <row r="56" spans="1:46">
      <c r="A56" s="802" t="s">
        <v>683</v>
      </c>
      <c r="B56" s="494">
        <v>16</v>
      </c>
      <c r="C56" s="497">
        <v>4</v>
      </c>
      <c r="D56" s="486">
        <f>AF56</f>
        <v>4.5</v>
      </c>
      <c r="E56" s="488"/>
      <c r="F56" s="488"/>
      <c r="G56" s="488"/>
      <c r="H56" s="488">
        <f>(D56/6)*(0.04*B56)</f>
        <v>0.48</v>
      </c>
      <c r="I56" s="488">
        <f>C56*(D56+F56+H56)</f>
        <v>19.920000000000002</v>
      </c>
      <c r="J56" s="488">
        <f t="shared" si="48"/>
        <v>1.5802469135802468</v>
      </c>
      <c r="K56" s="489">
        <f t="shared" si="49"/>
        <v>3.1478518518518517E-2</v>
      </c>
      <c r="L56" s="54" t="s">
        <v>695</v>
      </c>
      <c r="M56" s="55">
        <v>1</v>
      </c>
      <c r="N56" s="505" t="s">
        <v>675</v>
      </c>
      <c r="O56" s="510">
        <v>4.5</v>
      </c>
      <c r="P56" s="510">
        <v>0</v>
      </c>
      <c r="Q56" s="510">
        <v>0</v>
      </c>
      <c r="R56" s="510">
        <v>0</v>
      </c>
      <c r="S56" s="510">
        <v>0</v>
      </c>
      <c r="T56" s="510">
        <v>0</v>
      </c>
      <c r="U56" s="510">
        <v>0</v>
      </c>
      <c r="V56" s="510">
        <v>0</v>
      </c>
      <c r="W56" s="510">
        <v>0</v>
      </c>
      <c r="X56" s="510">
        <v>0</v>
      </c>
      <c r="Y56" s="510">
        <v>0</v>
      </c>
      <c r="Z56" s="510">
        <v>0</v>
      </c>
      <c r="AA56" s="510">
        <v>0</v>
      </c>
      <c r="AB56" s="510">
        <v>0</v>
      </c>
      <c r="AC56" s="510">
        <v>0</v>
      </c>
      <c r="AD56" s="510">
        <v>0</v>
      </c>
      <c r="AE56" s="510">
        <v>0</v>
      </c>
      <c r="AF56" s="502">
        <f>SUM(O56:AE56)</f>
        <v>4.5</v>
      </c>
      <c r="AG56" s="969"/>
      <c r="AH56" s="519">
        <v>0</v>
      </c>
      <c r="AI56" s="520">
        <v>0</v>
      </c>
      <c r="AJ56" s="521">
        <v>0</v>
      </c>
      <c r="AK56" s="521">
        <v>0</v>
      </c>
      <c r="AL56" s="521">
        <v>0</v>
      </c>
      <c r="AM56" s="367">
        <f t="shared" si="44"/>
        <v>0</v>
      </c>
      <c r="AN56" s="367">
        <f t="shared" si="45"/>
        <v>0</v>
      </c>
      <c r="AO56" s="522">
        <f t="shared" si="46"/>
        <v>0</v>
      </c>
      <c r="AP56" s="522">
        <f t="shared" si="47"/>
        <v>0</v>
      </c>
      <c r="AS56" s="632" t="s">
        <v>676</v>
      </c>
      <c r="AT56" s="633" t="s">
        <v>664</v>
      </c>
    </row>
    <row r="57" spans="1:46">
      <c r="A57" s="802" t="s">
        <v>677</v>
      </c>
      <c r="B57" s="494">
        <v>16</v>
      </c>
      <c r="C57" s="498">
        <v>2</v>
      </c>
      <c r="D57" s="486">
        <f>AF58</f>
        <v>2.5</v>
      </c>
      <c r="E57" s="488">
        <v>10</v>
      </c>
      <c r="F57" s="488">
        <f>((10*B57)*E53*C57)/1000</f>
        <v>0.64</v>
      </c>
      <c r="G57" s="488"/>
      <c r="H57" s="488">
        <f>(D57/6)*(0.04*B57)</f>
        <v>0.26666666666666666</v>
      </c>
      <c r="I57" s="488">
        <f>C57*(D57+F57+H57)</f>
        <v>6.8133333333333335</v>
      </c>
      <c r="J57" s="488">
        <f t="shared" si="48"/>
        <v>1.5802469135802468</v>
      </c>
      <c r="K57" s="489">
        <f t="shared" si="49"/>
        <v>1.0766748971193415E-2</v>
      </c>
      <c r="L57" s="54" t="s">
        <v>696</v>
      </c>
      <c r="M57" s="55">
        <v>0.15</v>
      </c>
      <c r="N57" s="505" t="s">
        <v>679</v>
      </c>
      <c r="O57" s="511">
        <f t="shared" ref="O57:AC57" si="52">O53*0.35</f>
        <v>2.1174999999999997</v>
      </c>
      <c r="P57" s="511">
        <f t="shared" si="52"/>
        <v>0</v>
      </c>
      <c r="Q57" s="511">
        <f t="shared" si="52"/>
        <v>0</v>
      </c>
      <c r="R57" s="511">
        <f t="shared" si="52"/>
        <v>0</v>
      </c>
      <c r="S57" s="511">
        <f t="shared" si="52"/>
        <v>0</v>
      </c>
      <c r="T57" s="511">
        <f t="shared" si="52"/>
        <v>0</v>
      </c>
      <c r="U57" s="511">
        <f t="shared" si="52"/>
        <v>0</v>
      </c>
      <c r="V57" s="511">
        <f t="shared" si="52"/>
        <v>0</v>
      </c>
      <c r="W57" s="511">
        <f t="shared" si="52"/>
        <v>0</v>
      </c>
      <c r="X57" s="511">
        <f t="shared" si="52"/>
        <v>0</v>
      </c>
      <c r="Y57" s="511">
        <f t="shared" si="52"/>
        <v>0</v>
      </c>
      <c r="Z57" s="511">
        <f t="shared" si="52"/>
        <v>0</v>
      </c>
      <c r="AA57" s="511">
        <f t="shared" si="52"/>
        <v>0</v>
      </c>
      <c r="AB57" s="511">
        <f t="shared" si="52"/>
        <v>0</v>
      </c>
      <c r="AC57" s="511">
        <f t="shared" si="52"/>
        <v>0</v>
      </c>
      <c r="AD57" s="511">
        <f t="shared" ref="AD57:AE57" si="53">AD53*0.35</f>
        <v>0</v>
      </c>
      <c r="AE57" s="511">
        <f t="shared" si="53"/>
        <v>0</v>
      </c>
      <c r="AF57" s="502"/>
      <c r="AG57" s="969"/>
      <c r="AH57" s="519">
        <v>0</v>
      </c>
      <c r="AI57" s="520">
        <v>0</v>
      </c>
      <c r="AJ57" s="521">
        <v>0</v>
      </c>
      <c r="AK57" s="521">
        <v>0</v>
      </c>
      <c r="AL57" s="521">
        <v>0</v>
      </c>
      <c r="AM57" s="367">
        <f t="shared" si="44"/>
        <v>0</v>
      </c>
      <c r="AN57" s="367">
        <f t="shared" si="45"/>
        <v>0</v>
      </c>
      <c r="AO57" s="522">
        <f t="shared" si="46"/>
        <v>0</v>
      </c>
      <c r="AP57" s="522">
        <f t="shared" si="47"/>
        <v>0</v>
      </c>
      <c r="AS57" s="632" t="s">
        <v>680</v>
      </c>
      <c r="AT57" s="633" t="s">
        <v>664</v>
      </c>
    </row>
    <row r="58" spans="1:46">
      <c r="A58" s="803">
        <f>M57</f>
        <v>0.15</v>
      </c>
      <c r="B58" s="494">
        <v>6</v>
      </c>
      <c r="C58" s="488">
        <f>(D57/A58)*I53</f>
        <v>33.333333333333336</v>
      </c>
      <c r="D58" s="486">
        <f>M59</f>
        <v>0.88</v>
      </c>
      <c r="E58" s="488"/>
      <c r="F58" s="488"/>
      <c r="G58" s="488"/>
      <c r="H58" s="488"/>
      <c r="I58" s="488">
        <f>D58*C58</f>
        <v>29.333333333333336</v>
      </c>
      <c r="J58" s="488">
        <f t="shared" si="48"/>
        <v>0.22222222222222221</v>
      </c>
      <c r="K58" s="489">
        <f t="shared" si="49"/>
        <v>6.518518518518519E-3</v>
      </c>
      <c r="L58" s="54" t="s">
        <v>697</v>
      </c>
      <c r="M58" s="55">
        <v>0.15</v>
      </c>
      <c r="N58" s="506" t="s">
        <v>681</v>
      </c>
      <c r="O58" s="510">
        <v>2.5</v>
      </c>
      <c r="P58" s="510">
        <v>0</v>
      </c>
      <c r="Q58" s="510">
        <v>0</v>
      </c>
      <c r="R58" s="510">
        <v>0</v>
      </c>
      <c r="S58" s="510">
        <v>0</v>
      </c>
      <c r="T58" s="510">
        <v>0</v>
      </c>
      <c r="U58" s="510">
        <v>0</v>
      </c>
      <c r="V58" s="510">
        <v>0</v>
      </c>
      <c r="W58" s="510">
        <v>0</v>
      </c>
      <c r="X58" s="510">
        <v>0</v>
      </c>
      <c r="Y58" s="510">
        <v>0</v>
      </c>
      <c r="Z58" s="510">
        <v>0</v>
      </c>
      <c r="AA58" s="510">
        <v>0</v>
      </c>
      <c r="AB58" s="510">
        <v>0</v>
      </c>
      <c r="AC58" s="510">
        <v>0</v>
      </c>
      <c r="AD58" s="510">
        <v>0</v>
      </c>
      <c r="AE58" s="510">
        <v>0</v>
      </c>
      <c r="AF58" s="502">
        <f>SUM(O58:AE58)</f>
        <v>2.5</v>
      </c>
      <c r="AG58" s="969"/>
      <c r="AH58" s="519">
        <v>0</v>
      </c>
      <c r="AI58" s="520">
        <v>0</v>
      </c>
      <c r="AJ58" s="521">
        <v>0</v>
      </c>
      <c r="AK58" s="521">
        <v>0</v>
      </c>
      <c r="AL58" s="521">
        <v>0</v>
      </c>
      <c r="AM58" s="367">
        <f t="shared" si="44"/>
        <v>0</v>
      </c>
      <c r="AN58" s="367">
        <f t="shared" si="45"/>
        <v>0</v>
      </c>
      <c r="AO58" s="522">
        <f t="shared" si="46"/>
        <v>0</v>
      </c>
      <c r="AP58" s="522">
        <f t="shared" si="47"/>
        <v>0</v>
      </c>
      <c r="AS58" s="632" t="s">
        <v>682</v>
      </c>
      <c r="AT58" s="633" t="s">
        <v>664</v>
      </c>
    </row>
    <row r="59" spans="1:46">
      <c r="A59" s="490">
        <f>M58</f>
        <v>0.15</v>
      </c>
      <c r="B59" s="495">
        <v>6</v>
      </c>
      <c r="C59" s="491">
        <f>((B53-D57)/A59)*J53</f>
        <v>23.666666666666668</v>
      </c>
      <c r="D59" s="487">
        <f>M59</f>
        <v>0.88</v>
      </c>
      <c r="E59" s="491"/>
      <c r="F59" s="491"/>
      <c r="G59" s="491"/>
      <c r="H59" s="491"/>
      <c r="I59" s="491">
        <f>D59*C59</f>
        <v>20.826666666666668</v>
      </c>
      <c r="J59" s="491">
        <f t="shared" si="48"/>
        <v>0.22222222222222221</v>
      </c>
      <c r="K59" s="492">
        <f t="shared" si="49"/>
        <v>4.6281481481481486E-3</v>
      </c>
      <c r="L59" s="337" t="s">
        <v>698</v>
      </c>
      <c r="M59" s="338">
        <f>AP53</f>
        <v>0.88</v>
      </c>
      <c r="N59" s="507"/>
      <c r="O59" s="508"/>
      <c r="P59" s="508"/>
      <c r="Q59" s="508"/>
      <c r="R59" s="508"/>
      <c r="S59" s="508"/>
      <c r="T59" s="508"/>
      <c r="U59" s="508"/>
      <c r="V59" s="508"/>
      <c r="W59" s="508"/>
      <c r="X59" s="508"/>
      <c r="Y59" s="508"/>
      <c r="Z59" s="508"/>
      <c r="AA59" s="508"/>
      <c r="AB59" s="508"/>
      <c r="AC59" s="508"/>
      <c r="AD59" s="508"/>
      <c r="AE59" s="508"/>
      <c r="AF59" s="509"/>
      <c r="AG59" s="969"/>
      <c r="AH59" s="519">
        <v>0</v>
      </c>
      <c r="AI59" s="520">
        <v>0</v>
      </c>
      <c r="AJ59" s="521">
        <v>0</v>
      </c>
      <c r="AK59" s="521">
        <v>0</v>
      </c>
      <c r="AL59" s="521">
        <v>0</v>
      </c>
      <c r="AM59" s="367">
        <f t="shared" si="44"/>
        <v>0</v>
      </c>
      <c r="AN59" s="367">
        <f t="shared" si="45"/>
        <v>0</v>
      </c>
      <c r="AO59" s="522">
        <f t="shared" si="46"/>
        <v>0</v>
      </c>
      <c r="AP59" s="522">
        <f t="shared" si="47"/>
        <v>0</v>
      </c>
      <c r="AS59" s="632" t="s">
        <v>699</v>
      </c>
      <c r="AT59" s="633" t="s">
        <v>664</v>
      </c>
    </row>
    <row r="60" spans="1:46">
      <c r="A60" s="512"/>
      <c r="B60" s="513"/>
      <c r="C60" s="513"/>
      <c r="D60" s="514"/>
      <c r="E60" s="513"/>
      <c r="F60" s="513"/>
      <c r="G60" s="513"/>
      <c r="H60" s="513"/>
      <c r="I60" s="513"/>
      <c r="J60" s="513"/>
      <c r="K60" s="513"/>
      <c r="L60" s="515"/>
      <c r="M60" s="516"/>
      <c r="N60" s="515"/>
      <c r="O60" s="515"/>
      <c r="P60" s="515"/>
      <c r="Q60" s="515"/>
      <c r="R60" s="515"/>
      <c r="S60" s="515"/>
      <c r="T60" s="515"/>
      <c r="U60" s="515"/>
      <c r="V60" s="515"/>
      <c r="W60" s="515"/>
      <c r="X60" s="515"/>
      <c r="Y60" s="515"/>
      <c r="Z60" s="515"/>
      <c r="AA60" s="515"/>
      <c r="AB60" s="515"/>
      <c r="AC60" s="515"/>
      <c r="AD60" s="515"/>
      <c r="AE60" s="515"/>
      <c r="AF60" s="517"/>
      <c r="AG60" s="970"/>
      <c r="AH60" s="543">
        <v>0</v>
      </c>
      <c r="AI60" s="523">
        <v>0</v>
      </c>
      <c r="AJ60" s="524">
        <v>0</v>
      </c>
      <c r="AK60" s="524">
        <v>0</v>
      </c>
      <c r="AL60" s="524">
        <v>0</v>
      </c>
      <c r="AM60" s="525">
        <f t="shared" si="44"/>
        <v>0</v>
      </c>
      <c r="AN60" s="525">
        <f t="shared" si="45"/>
        <v>0</v>
      </c>
      <c r="AO60" s="526">
        <f t="shared" si="46"/>
        <v>0</v>
      </c>
      <c r="AP60" s="526">
        <f t="shared" si="47"/>
        <v>0</v>
      </c>
      <c r="AS60" s="499"/>
      <c r="AT60" s="500"/>
    </row>
    <row r="61" spans="1:46">
      <c r="A61" s="794"/>
      <c r="B61" s="795"/>
      <c r="C61" s="795"/>
      <c r="D61" s="796"/>
      <c r="E61" s="795"/>
      <c r="F61" s="795"/>
      <c r="G61" s="795"/>
      <c r="H61" s="795"/>
      <c r="I61" s="501" t="s">
        <v>689</v>
      </c>
      <c r="J61" s="501" t="s">
        <v>690</v>
      </c>
      <c r="K61" s="797"/>
      <c r="L61" s="527"/>
      <c r="M61" s="528"/>
      <c r="N61" s="529" t="s">
        <v>691</v>
      </c>
      <c r="O61" s="530"/>
      <c r="P61" s="531"/>
      <c r="Q61" s="531"/>
      <c r="R61" s="531"/>
      <c r="S61" s="531"/>
      <c r="T61" s="531"/>
      <c r="U61" s="531"/>
      <c r="V61" s="531"/>
      <c r="W61" s="531"/>
      <c r="X61" s="531"/>
      <c r="Y61" s="531"/>
      <c r="Z61" s="531"/>
      <c r="AA61" s="531"/>
      <c r="AB61" s="531"/>
      <c r="AC61" s="531"/>
      <c r="AD61" s="531"/>
      <c r="AE61" s="531"/>
      <c r="AF61" s="532"/>
      <c r="AG61" s="533"/>
      <c r="AH61" s="534"/>
      <c r="AI61" s="535"/>
      <c r="AJ61" s="536"/>
      <c r="AK61" s="536"/>
      <c r="AL61" s="536"/>
      <c r="AM61" s="536"/>
      <c r="AN61" s="536"/>
      <c r="AO61" s="536"/>
      <c r="AP61" s="537"/>
      <c r="AS61" s="632" t="s">
        <v>663</v>
      </c>
      <c r="AT61" s="633" t="s">
        <v>664</v>
      </c>
    </row>
    <row r="62" spans="1:46" ht="11.25" customHeight="1">
      <c r="A62" s="798" t="str">
        <f>N62</f>
        <v>B3</v>
      </c>
      <c r="B62" s="501">
        <f>AF62</f>
        <v>0</v>
      </c>
      <c r="C62" s="799" t="s">
        <v>422</v>
      </c>
      <c r="D62" s="800" t="s">
        <v>665</v>
      </c>
      <c r="E62" s="501">
        <f>AF63</f>
        <v>0</v>
      </c>
      <c r="F62" s="798">
        <f>M62</f>
        <v>200</v>
      </c>
      <c r="G62" s="501" t="s">
        <v>666</v>
      </c>
      <c r="H62" s="801">
        <f>M63</f>
        <v>400</v>
      </c>
      <c r="I62" s="501">
        <f>M64</f>
        <v>2</v>
      </c>
      <c r="J62" s="501">
        <f>M65</f>
        <v>1</v>
      </c>
      <c r="K62" s="799"/>
      <c r="L62" s="54" t="s">
        <v>384</v>
      </c>
      <c r="M62" s="55">
        <v>200</v>
      </c>
      <c r="N62" s="504" t="s">
        <v>701</v>
      </c>
      <c r="O62" s="503">
        <v>0</v>
      </c>
      <c r="P62" s="503">
        <v>0</v>
      </c>
      <c r="Q62" s="503">
        <v>0</v>
      </c>
      <c r="R62" s="503">
        <v>0</v>
      </c>
      <c r="S62" s="503">
        <v>0</v>
      </c>
      <c r="T62" s="503">
        <v>0</v>
      </c>
      <c r="U62" s="503">
        <v>0</v>
      </c>
      <c r="V62" s="503">
        <v>0</v>
      </c>
      <c r="W62" s="503">
        <v>0</v>
      </c>
      <c r="X62" s="503">
        <v>0</v>
      </c>
      <c r="Y62" s="503">
        <v>0</v>
      </c>
      <c r="Z62" s="503">
        <v>0</v>
      </c>
      <c r="AA62" s="503">
        <v>0</v>
      </c>
      <c r="AB62" s="503">
        <v>0</v>
      </c>
      <c r="AC62" s="503">
        <v>0</v>
      </c>
      <c r="AD62" s="503">
        <v>0</v>
      </c>
      <c r="AE62" s="503">
        <v>0</v>
      </c>
      <c r="AF62" s="502">
        <f>SUM(O62:AE62)</f>
        <v>0</v>
      </c>
      <c r="AG62" s="968" t="s">
        <v>693</v>
      </c>
      <c r="AH62" s="538" t="s">
        <v>692</v>
      </c>
      <c r="AI62" s="539">
        <v>6</v>
      </c>
      <c r="AJ62" s="540">
        <v>200</v>
      </c>
      <c r="AK62" s="540">
        <v>350</v>
      </c>
      <c r="AL62" s="540">
        <v>35</v>
      </c>
      <c r="AM62" s="541">
        <f t="shared" ref="AM62:AM69" si="54">AJ62-(2*AL62)</f>
        <v>130</v>
      </c>
      <c r="AN62" s="541">
        <f t="shared" ref="AN62:AN69" si="55">AK62-(2*AL62)</f>
        <v>280</v>
      </c>
      <c r="AO62" s="542">
        <f t="shared" ref="AO62:AO69" si="56">2*(AM62+AN62)+(2*10*AI62)-(5*2*AI62)</f>
        <v>880</v>
      </c>
      <c r="AP62" s="542">
        <f t="shared" ref="AP62:AP69" si="57">AO62/1000</f>
        <v>0.88</v>
      </c>
      <c r="AS62" s="632" t="s">
        <v>667</v>
      </c>
      <c r="AT62" s="633" t="s">
        <v>664</v>
      </c>
    </row>
    <row r="63" spans="1:46">
      <c r="A63" s="802" t="s">
        <v>668</v>
      </c>
      <c r="B63" s="493">
        <v>16</v>
      </c>
      <c r="C63" s="496">
        <v>5</v>
      </c>
      <c r="D63" s="486">
        <f>B62</f>
        <v>0</v>
      </c>
      <c r="E63" s="488">
        <v>10</v>
      </c>
      <c r="F63" s="488">
        <f>((10*B63)*E62*C63)/1000</f>
        <v>0</v>
      </c>
      <c r="G63" s="488"/>
      <c r="H63" s="488">
        <f>(D63/6)*(0.04*B63)</f>
        <v>0</v>
      </c>
      <c r="I63" s="488">
        <f>C63*(D63+F63+H63)</f>
        <v>0</v>
      </c>
      <c r="J63" s="488">
        <f t="shared" ref="J63:J68" si="58">B63*B63/162</f>
        <v>1.5802469135802468</v>
      </c>
      <c r="K63" s="489">
        <f t="shared" ref="K63:K68" si="59">(I63*J63)/1000</f>
        <v>0</v>
      </c>
      <c r="L63" s="54" t="s">
        <v>385</v>
      </c>
      <c r="M63" s="55">
        <v>400</v>
      </c>
      <c r="N63" s="505" t="s">
        <v>667</v>
      </c>
      <c r="O63" s="503">
        <v>0</v>
      </c>
      <c r="P63" s="503">
        <v>0</v>
      </c>
      <c r="Q63" s="503">
        <v>0</v>
      </c>
      <c r="R63" s="503">
        <v>0</v>
      </c>
      <c r="S63" s="503">
        <v>0</v>
      </c>
      <c r="T63" s="503">
        <v>0</v>
      </c>
      <c r="U63" s="503">
        <v>0</v>
      </c>
      <c r="V63" s="503">
        <v>0</v>
      </c>
      <c r="W63" s="503">
        <v>0</v>
      </c>
      <c r="X63" s="503">
        <v>0</v>
      </c>
      <c r="Y63" s="503">
        <v>0</v>
      </c>
      <c r="Z63" s="503">
        <v>0</v>
      </c>
      <c r="AA63" s="503">
        <v>0</v>
      </c>
      <c r="AB63" s="503">
        <v>0</v>
      </c>
      <c r="AC63" s="503">
        <v>0</v>
      </c>
      <c r="AD63" s="503">
        <v>0</v>
      </c>
      <c r="AE63" s="503">
        <v>0</v>
      </c>
      <c r="AF63" s="502">
        <f>SUM(O63:AE63)</f>
        <v>0</v>
      </c>
      <c r="AG63" s="969"/>
      <c r="AH63" s="519">
        <v>0</v>
      </c>
      <c r="AI63" s="520">
        <v>0</v>
      </c>
      <c r="AJ63" s="521">
        <v>0</v>
      </c>
      <c r="AK63" s="521">
        <v>0</v>
      </c>
      <c r="AL63" s="521">
        <v>0</v>
      </c>
      <c r="AM63" s="367">
        <f t="shared" si="54"/>
        <v>0</v>
      </c>
      <c r="AN63" s="367">
        <f t="shared" si="55"/>
        <v>0</v>
      </c>
      <c r="AO63" s="522">
        <f t="shared" si="56"/>
        <v>0</v>
      </c>
      <c r="AP63" s="522">
        <f t="shared" si="57"/>
        <v>0</v>
      </c>
      <c r="AS63" s="632" t="s">
        <v>669</v>
      </c>
      <c r="AT63" s="633" t="s">
        <v>664</v>
      </c>
    </row>
    <row r="64" spans="1:46">
      <c r="A64" s="802"/>
      <c r="B64" s="494">
        <v>16</v>
      </c>
      <c r="C64" s="497">
        <v>5</v>
      </c>
      <c r="D64" s="486">
        <f>B62</f>
        <v>0</v>
      </c>
      <c r="E64" s="488">
        <v>10</v>
      </c>
      <c r="F64" s="488">
        <f>((10*B64)*E62*C64)/1000</f>
        <v>0</v>
      </c>
      <c r="G64" s="488"/>
      <c r="H64" s="488">
        <f>(D64/6)*(0.04*B64)</f>
        <v>0</v>
      </c>
      <c r="I64" s="488">
        <f>C64*(D64+F64+H64)</f>
        <v>0</v>
      </c>
      <c r="J64" s="488">
        <f t="shared" si="58"/>
        <v>1.5802469135802468</v>
      </c>
      <c r="K64" s="489">
        <f t="shared" si="59"/>
        <v>0</v>
      </c>
      <c r="L64" s="54" t="s">
        <v>694</v>
      </c>
      <c r="M64" s="55">
        <v>2</v>
      </c>
      <c r="N64" s="505" t="s">
        <v>671</v>
      </c>
      <c r="O64" s="511">
        <f t="shared" ref="O64:AE64" si="60">O62*0.7</f>
        <v>0</v>
      </c>
      <c r="P64" s="511">
        <f t="shared" si="60"/>
        <v>0</v>
      </c>
      <c r="Q64" s="511">
        <f t="shared" si="60"/>
        <v>0</v>
      </c>
      <c r="R64" s="511">
        <f t="shared" si="60"/>
        <v>0</v>
      </c>
      <c r="S64" s="511">
        <f t="shared" si="60"/>
        <v>0</v>
      </c>
      <c r="T64" s="511">
        <f t="shared" si="60"/>
        <v>0</v>
      </c>
      <c r="U64" s="511">
        <f t="shared" si="60"/>
        <v>0</v>
      </c>
      <c r="V64" s="511">
        <f t="shared" si="60"/>
        <v>0</v>
      </c>
      <c r="W64" s="511">
        <f t="shared" si="60"/>
        <v>0</v>
      </c>
      <c r="X64" s="511">
        <f t="shared" si="60"/>
        <v>0</v>
      </c>
      <c r="Y64" s="511">
        <f t="shared" si="60"/>
        <v>0</v>
      </c>
      <c r="Z64" s="511">
        <f t="shared" si="60"/>
        <v>0</v>
      </c>
      <c r="AA64" s="511">
        <f t="shared" si="60"/>
        <v>0</v>
      </c>
      <c r="AB64" s="511">
        <f t="shared" si="60"/>
        <v>0</v>
      </c>
      <c r="AC64" s="511">
        <f t="shared" si="60"/>
        <v>0</v>
      </c>
      <c r="AD64" s="511">
        <f t="shared" si="60"/>
        <v>0</v>
      </c>
      <c r="AE64" s="511">
        <f t="shared" si="60"/>
        <v>0</v>
      </c>
      <c r="AF64" s="502"/>
      <c r="AG64" s="969"/>
      <c r="AH64" s="519">
        <v>0</v>
      </c>
      <c r="AI64" s="520">
        <v>0</v>
      </c>
      <c r="AJ64" s="521">
        <v>0</v>
      </c>
      <c r="AK64" s="521">
        <v>0</v>
      </c>
      <c r="AL64" s="521">
        <v>0</v>
      </c>
      <c r="AM64" s="367">
        <f t="shared" si="54"/>
        <v>0</v>
      </c>
      <c r="AN64" s="367">
        <f t="shared" si="55"/>
        <v>0</v>
      </c>
      <c r="AO64" s="522">
        <f t="shared" si="56"/>
        <v>0</v>
      </c>
      <c r="AP64" s="522">
        <f t="shared" si="57"/>
        <v>0</v>
      </c>
      <c r="AS64" s="632" t="s">
        <v>672</v>
      </c>
      <c r="AT64" s="633" t="s">
        <v>664</v>
      </c>
    </row>
    <row r="65" spans="1:46">
      <c r="A65" s="802" t="s">
        <v>683</v>
      </c>
      <c r="B65" s="494">
        <v>16</v>
      </c>
      <c r="C65" s="497">
        <v>2</v>
      </c>
      <c r="D65" s="486">
        <f>AF65</f>
        <v>0</v>
      </c>
      <c r="E65" s="488"/>
      <c r="F65" s="488"/>
      <c r="G65" s="488"/>
      <c r="H65" s="488">
        <f>(D65/6)*(0.04*B65)</f>
        <v>0</v>
      </c>
      <c r="I65" s="488">
        <f>C65*(D65+F65+H65)</f>
        <v>0</v>
      </c>
      <c r="J65" s="488">
        <f t="shared" si="58"/>
        <v>1.5802469135802468</v>
      </c>
      <c r="K65" s="489">
        <f t="shared" si="59"/>
        <v>0</v>
      </c>
      <c r="L65" s="54" t="s">
        <v>695</v>
      </c>
      <c r="M65" s="55">
        <v>1</v>
      </c>
      <c r="N65" s="505" t="s">
        <v>675</v>
      </c>
      <c r="O65" s="510">
        <v>0</v>
      </c>
      <c r="P65" s="510">
        <v>0</v>
      </c>
      <c r="Q65" s="510">
        <v>0</v>
      </c>
      <c r="R65" s="510">
        <v>0</v>
      </c>
      <c r="S65" s="510">
        <v>0</v>
      </c>
      <c r="T65" s="510">
        <v>0</v>
      </c>
      <c r="U65" s="510">
        <v>0</v>
      </c>
      <c r="V65" s="510">
        <v>0</v>
      </c>
      <c r="W65" s="510">
        <v>0</v>
      </c>
      <c r="X65" s="510">
        <v>0</v>
      </c>
      <c r="Y65" s="510">
        <v>0</v>
      </c>
      <c r="Z65" s="510">
        <v>0</v>
      </c>
      <c r="AA65" s="510">
        <v>0</v>
      </c>
      <c r="AB65" s="510">
        <v>0</v>
      </c>
      <c r="AC65" s="510">
        <v>0</v>
      </c>
      <c r="AD65" s="510">
        <v>0</v>
      </c>
      <c r="AE65" s="510">
        <v>0</v>
      </c>
      <c r="AF65" s="502">
        <f>SUM(O65:AE65)</f>
        <v>0</v>
      </c>
      <c r="AG65" s="969"/>
      <c r="AH65" s="519">
        <v>0</v>
      </c>
      <c r="AI65" s="520">
        <v>0</v>
      </c>
      <c r="AJ65" s="521">
        <v>0</v>
      </c>
      <c r="AK65" s="521">
        <v>0</v>
      </c>
      <c r="AL65" s="521">
        <v>0</v>
      </c>
      <c r="AM65" s="367">
        <f t="shared" si="54"/>
        <v>0</v>
      </c>
      <c r="AN65" s="367">
        <f t="shared" si="55"/>
        <v>0</v>
      </c>
      <c r="AO65" s="522">
        <f t="shared" si="56"/>
        <v>0</v>
      </c>
      <c r="AP65" s="522">
        <f t="shared" si="57"/>
        <v>0</v>
      </c>
      <c r="AS65" s="632" t="s">
        <v>676</v>
      </c>
      <c r="AT65" s="633" t="s">
        <v>664</v>
      </c>
    </row>
    <row r="66" spans="1:46">
      <c r="A66" s="802" t="s">
        <v>677</v>
      </c>
      <c r="B66" s="494">
        <v>16</v>
      </c>
      <c r="C66" s="498">
        <v>2</v>
      </c>
      <c r="D66" s="486">
        <f>AF67</f>
        <v>0</v>
      </c>
      <c r="E66" s="488">
        <v>10</v>
      </c>
      <c r="F66" s="488">
        <f>((10*B66)*E62*C66)/1000</f>
        <v>0</v>
      </c>
      <c r="G66" s="488"/>
      <c r="H66" s="488">
        <f>(D66/6)*(0.04*B66)</f>
        <v>0</v>
      </c>
      <c r="I66" s="488">
        <f>C66*(D66+F66+H66)</f>
        <v>0</v>
      </c>
      <c r="J66" s="488">
        <f t="shared" si="58"/>
        <v>1.5802469135802468</v>
      </c>
      <c r="K66" s="489">
        <f t="shared" si="59"/>
        <v>0</v>
      </c>
      <c r="L66" s="54" t="s">
        <v>696</v>
      </c>
      <c r="M66" s="55">
        <v>0.15</v>
      </c>
      <c r="N66" s="505" t="s">
        <v>679</v>
      </c>
      <c r="O66" s="511">
        <f t="shared" ref="O66:AE66" si="61">O62*0.35</f>
        <v>0</v>
      </c>
      <c r="P66" s="511">
        <f t="shared" si="61"/>
        <v>0</v>
      </c>
      <c r="Q66" s="511">
        <f t="shared" si="61"/>
        <v>0</v>
      </c>
      <c r="R66" s="511">
        <f t="shared" si="61"/>
        <v>0</v>
      </c>
      <c r="S66" s="511">
        <f t="shared" si="61"/>
        <v>0</v>
      </c>
      <c r="T66" s="511">
        <f t="shared" si="61"/>
        <v>0</v>
      </c>
      <c r="U66" s="511">
        <f t="shared" si="61"/>
        <v>0</v>
      </c>
      <c r="V66" s="511">
        <f t="shared" si="61"/>
        <v>0</v>
      </c>
      <c r="W66" s="511">
        <f t="shared" si="61"/>
        <v>0</v>
      </c>
      <c r="X66" s="511">
        <f t="shared" si="61"/>
        <v>0</v>
      </c>
      <c r="Y66" s="511">
        <f t="shared" si="61"/>
        <v>0</v>
      </c>
      <c r="Z66" s="511">
        <f t="shared" si="61"/>
        <v>0</v>
      </c>
      <c r="AA66" s="511">
        <f t="shared" si="61"/>
        <v>0</v>
      </c>
      <c r="AB66" s="511">
        <f t="shared" si="61"/>
        <v>0</v>
      </c>
      <c r="AC66" s="511">
        <f t="shared" si="61"/>
        <v>0</v>
      </c>
      <c r="AD66" s="511">
        <f t="shared" si="61"/>
        <v>0</v>
      </c>
      <c r="AE66" s="511">
        <f t="shared" si="61"/>
        <v>0</v>
      </c>
      <c r="AF66" s="502"/>
      <c r="AG66" s="969"/>
      <c r="AH66" s="519">
        <v>0</v>
      </c>
      <c r="AI66" s="520">
        <v>0</v>
      </c>
      <c r="AJ66" s="521">
        <v>0</v>
      </c>
      <c r="AK66" s="521">
        <v>0</v>
      </c>
      <c r="AL66" s="521">
        <v>0</v>
      </c>
      <c r="AM66" s="367">
        <f t="shared" si="54"/>
        <v>0</v>
      </c>
      <c r="AN66" s="367">
        <f t="shared" si="55"/>
        <v>0</v>
      </c>
      <c r="AO66" s="522">
        <f t="shared" si="56"/>
        <v>0</v>
      </c>
      <c r="AP66" s="522">
        <f t="shared" si="57"/>
        <v>0</v>
      </c>
      <c r="AS66" s="632" t="s">
        <v>680</v>
      </c>
      <c r="AT66" s="633" t="s">
        <v>664</v>
      </c>
    </row>
    <row r="67" spans="1:46">
      <c r="A67" s="803">
        <f>M66</f>
        <v>0.15</v>
      </c>
      <c r="B67" s="494">
        <v>6</v>
      </c>
      <c r="C67" s="488">
        <f>(D66/A67)*I62</f>
        <v>0</v>
      </c>
      <c r="D67" s="486">
        <f>M68</f>
        <v>0.88</v>
      </c>
      <c r="E67" s="488"/>
      <c r="F67" s="488"/>
      <c r="G67" s="488"/>
      <c r="H67" s="488"/>
      <c r="I67" s="488">
        <f>D67*C67</f>
        <v>0</v>
      </c>
      <c r="J67" s="488">
        <f t="shared" si="58"/>
        <v>0.22222222222222221</v>
      </c>
      <c r="K67" s="489">
        <f t="shared" si="59"/>
        <v>0</v>
      </c>
      <c r="L67" s="54" t="s">
        <v>697</v>
      </c>
      <c r="M67" s="55">
        <v>0.15</v>
      </c>
      <c r="N67" s="506" t="s">
        <v>681</v>
      </c>
      <c r="O67" s="510">
        <v>0</v>
      </c>
      <c r="P67" s="510">
        <v>0</v>
      </c>
      <c r="Q67" s="510">
        <v>0</v>
      </c>
      <c r="R67" s="510">
        <v>0</v>
      </c>
      <c r="S67" s="510">
        <v>0</v>
      </c>
      <c r="T67" s="510">
        <v>0</v>
      </c>
      <c r="U67" s="510">
        <v>0</v>
      </c>
      <c r="V67" s="510">
        <v>0</v>
      </c>
      <c r="W67" s="510">
        <v>0</v>
      </c>
      <c r="X67" s="510">
        <v>0</v>
      </c>
      <c r="Y67" s="510">
        <v>0</v>
      </c>
      <c r="Z67" s="510">
        <v>0</v>
      </c>
      <c r="AA67" s="510">
        <v>0</v>
      </c>
      <c r="AB67" s="510">
        <v>0</v>
      </c>
      <c r="AC67" s="510">
        <v>0</v>
      </c>
      <c r="AD67" s="510">
        <v>0</v>
      </c>
      <c r="AE67" s="510">
        <v>0</v>
      </c>
      <c r="AF67" s="502">
        <f>SUM(O67:AE67)</f>
        <v>0</v>
      </c>
      <c r="AG67" s="969"/>
      <c r="AH67" s="519">
        <v>0</v>
      </c>
      <c r="AI67" s="520">
        <v>0</v>
      </c>
      <c r="AJ67" s="521">
        <v>0</v>
      </c>
      <c r="AK67" s="521">
        <v>0</v>
      </c>
      <c r="AL67" s="521">
        <v>0</v>
      </c>
      <c r="AM67" s="367">
        <f t="shared" si="54"/>
        <v>0</v>
      </c>
      <c r="AN67" s="367">
        <f t="shared" si="55"/>
        <v>0</v>
      </c>
      <c r="AO67" s="522">
        <f t="shared" si="56"/>
        <v>0</v>
      </c>
      <c r="AP67" s="522">
        <f t="shared" si="57"/>
        <v>0</v>
      </c>
      <c r="AS67" s="632" t="s">
        <v>682</v>
      </c>
      <c r="AT67" s="633" t="s">
        <v>664</v>
      </c>
    </row>
    <row r="68" spans="1:46">
      <c r="A68" s="490">
        <f>M67</f>
        <v>0.15</v>
      </c>
      <c r="B68" s="495">
        <v>6</v>
      </c>
      <c r="C68" s="491">
        <f>((B62-D66)/A68)*J62</f>
        <v>0</v>
      </c>
      <c r="D68" s="487">
        <f>M68</f>
        <v>0.88</v>
      </c>
      <c r="E68" s="491"/>
      <c r="F68" s="491"/>
      <c r="G68" s="491"/>
      <c r="H68" s="491"/>
      <c r="I68" s="491">
        <f>D68*C68</f>
        <v>0</v>
      </c>
      <c r="J68" s="491">
        <f t="shared" si="58"/>
        <v>0.22222222222222221</v>
      </c>
      <c r="K68" s="492">
        <f t="shared" si="59"/>
        <v>0</v>
      </c>
      <c r="L68" s="337" t="s">
        <v>698</v>
      </c>
      <c r="M68" s="338">
        <f>AP62</f>
        <v>0.88</v>
      </c>
      <c r="N68" s="507"/>
      <c r="O68" s="508"/>
      <c r="P68" s="508"/>
      <c r="Q68" s="508"/>
      <c r="R68" s="508"/>
      <c r="S68" s="508"/>
      <c r="T68" s="508"/>
      <c r="U68" s="508"/>
      <c r="V68" s="508"/>
      <c r="W68" s="508"/>
      <c r="X68" s="508"/>
      <c r="Y68" s="508"/>
      <c r="Z68" s="508"/>
      <c r="AA68" s="508"/>
      <c r="AB68" s="508"/>
      <c r="AC68" s="508"/>
      <c r="AD68" s="508"/>
      <c r="AE68" s="508"/>
      <c r="AF68" s="509"/>
      <c r="AG68" s="969"/>
      <c r="AH68" s="519">
        <v>0</v>
      </c>
      <c r="AI68" s="520">
        <v>0</v>
      </c>
      <c r="AJ68" s="521">
        <v>0</v>
      </c>
      <c r="AK68" s="521">
        <v>0</v>
      </c>
      <c r="AL68" s="521">
        <v>0</v>
      </c>
      <c r="AM68" s="367">
        <f t="shared" si="54"/>
        <v>0</v>
      </c>
      <c r="AN68" s="367">
        <f t="shared" si="55"/>
        <v>0</v>
      </c>
      <c r="AO68" s="522">
        <f t="shared" si="56"/>
        <v>0</v>
      </c>
      <c r="AP68" s="522">
        <f t="shared" si="57"/>
        <v>0</v>
      </c>
      <c r="AS68" s="632" t="s">
        <v>699</v>
      </c>
      <c r="AT68" s="633" t="s">
        <v>664</v>
      </c>
    </row>
    <row r="69" spans="1:46">
      <c r="A69" s="512"/>
      <c r="B69" s="513"/>
      <c r="C69" s="513"/>
      <c r="D69" s="514"/>
      <c r="E69" s="513"/>
      <c r="F69" s="513"/>
      <c r="G69" s="513"/>
      <c r="H69" s="513"/>
      <c r="I69" s="513"/>
      <c r="J69" s="513"/>
      <c r="K69" s="513"/>
      <c r="L69" s="515"/>
      <c r="M69" s="516"/>
      <c r="N69" s="515"/>
      <c r="O69" s="515"/>
      <c r="P69" s="515"/>
      <c r="Q69" s="515"/>
      <c r="R69" s="515"/>
      <c r="S69" s="515"/>
      <c r="T69" s="515"/>
      <c r="U69" s="515"/>
      <c r="V69" s="515"/>
      <c r="W69" s="515"/>
      <c r="X69" s="515"/>
      <c r="Y69" s="515"/>
      <c r="Z69" s="515"/>
      <c r="AA69" s="515"/>
      <c r="AB69" s="515"/>
      <c r="AC69" s="515"/>
      <c r="AD69" s="515"/>
      <c r="AE69" s="515"/>
      <c r="AF69" s="517"/>
      <c r="AG69" s="970"/>
      <c r="AH69" s="543">
        <v>0</v>
      </c>
      <c r="AI69" s="523">
        <v>0</v>
      </c>
      <c r="AJ69" s="524">
        <v>0</v>
      </c>
      <c r="AK69" s="524">
        <v>0</v>
      </c>
      <c r="AL69" s="524">
        <v>0</v>
      </c>
      <c r="AM69" s="525">
        <f t="shared" si="54"/>
        <v>0</v>
      </c>
      <c r="AN69" s="525">
        <f t="shared" si="55"/>
        <v>0</v>
      </c>
      <c r="AO69" s="526">
        <f t="shared" si="56"/>
        <v>0</v>
      </c>
      <c r="AP69" s="526">
        <f t="shared" si="57"/>
        <v>0</v>
      </c>
      <c r="AS69" s="499"/>
      <c r="AT69" s="500"/>
    </row>
    <row r="70" spans="1:46">
      <c r="A70" s="794"/>
      <c r="B70" s="795"/>
      <c r="C70" s="795"/>
      <c r="D70" s="796"/>
      <c r="E70" s="795"/>
      <c r="F70" s="795"/>
      <c r="G70" s="795"/>
      <c r="H70" s="795"/>
      <c r="I70" s="501" t="s">
        <v>689</v>
      </c>
      <c r="J70" s="501" t="s">
        <v>690</v>
      </c>
      <c r="K70" s="797"/>
      <c r="L70" s="527"/>
      <c r="M70" s="528"/>
      <c r="N70" s="529" t="s">
        <v>691</v>
      </c>
      <c r="O70" s="530"/>
      <c r="P70" s="531"/>
      <c r="Q70" s="531"/>
      <c r="R70" s="531"/>
      <c r="S70" s="531"/>
      <c r="T70" s="531"/>
      <c r="U70" s="531"/>
      <c r="V70" s="531"/>
      <c r="W70" s="531"/>
      <c r="X70" s="531"/>
      <c r="Y70" s="531"/>
      <c r="Z70" s="531"/>
      <c r="AA70" s="531"/>
      <c r="AB70" s="531"/>
      <c r="AC70" s="531"/>
      <c r="AD70" s="531"/>
      <c r="AE70" s="531"/>
      <c r="AF70" s="532"/>
      <c r="AG70" s="533"/>
      <c r="AH70" s="534"/>
      <c r="AI70" s="535"/>
      <c r="AJ70" s="536"/>
      <c r="AK70" s="536"/>
      <c r="AL70" s="536"/>
      <c r="AM70" s="536"/>
      <c r="AN70" s="536"/>
      <c r="AO70" s="536"/>
      <c r="AP70" s="537"/>
      <c r="AS70" s="632" t="s">
        <v>663</v>
      </c>
      <c r="AT70" s="633" t="s">
        <v>664</v>
      </c>
    </row>
    <row r="71" spans="1:46" ht="11.25" customHeight="1">
      <c r="A71" s="798" t="str">
        <f>N71</f>
        <v>B4</v>
      </c>
      <c r="B71" s="501">
        <f>AF71</f>
        <v>16.431000000000001</v>
      </c>
      <c r="C71" s="799" t="s">
        <v>422</v>
      </c>
      <c r="D71" s="800" t="s">
        <v>665</v>
      </c>
      <c r="E71" s="501">
        <f>AF72</f>
        <v>2</v>
      </c>
      <c r="F71" s="798">
        <f>M71</f>
        <v>200</v>
      </c>
      <c r="G71" s="501" t="s">
        <v>666</v>
      </c>
      <c r="H71" s="801">
        <f>M72</f>
        <v>400</v>
      </c>
      <c r="I71" s="501">
        <f>M73</f>
        <v>2</v>
      </c>
      <c r="J71" s="501">
        <f>M74</f>
        <v>1</v>
      </c>
      <c r="K71" s="799"/>
      <c r="L71" s="54" t="s">
        <v>384</v>
      </c>
      <c r="M71" s="55">
        <v>200</v>
      </c>
      <c r="N71" s="504" t="s">
        <v>702</v>
      </c>
      <c r="O71" s="503">
        <v>4.915</v>
      </c>
      <c r="P71" s="503">
        <v>5.3310000000000004</v>
      </c>
      <c r="Q71" s="503">
        <v>6.1849999999999996</v>
      </c>
      <c r="R71" s="503">
        <v>0</v>
      </c>
      <c r="S71" s="503">
        <v>0</v>
      </c>
      <c r="T71" s="503">
        <v>0</v>
      </c>
      <c r="U71" s="503">
        <v>0</v>
      </c>
      <c r="V71" s="503">
        <v>0</v>
      </c>
      <c r="W71" s="503">
        <v>0</v>
      </c>
      <c r="X71" s="503">
        <v>0</v>
      </c>
      <c r="Y71" s="503">
        <v>0</v>
      </c>
      <c r="Z71" s="503">
        <v>0</v>
      </c>
      <c r="AA71" s="503">
        <v>0</v>
      </c>
      <c r="AB71" s="503">
        <v>0</v>
      </c>
      <c r="AC71" s="503">
        <v>0</v>
      </c>
      <c r="AD71" s="503">
        <v>0</v>
      </c>
      <c r="AE71" s="503">
        <v>0</v>
      </c>
      <c r="AF71" s="502">
        <f>SUM(O71:AE71)</f>
        <v>16.431000000000001</v>
      </c>
      <c r="AG71" s="968" t="s">
        <v>693</v>
      </c>
      <c r="AH71" s="538" t="s">
        <v>692</v>
      </c>
      <c r="AI71" s="539">
        <v>6</v>
      </c>
      <c r="AJ71" s="540">
        <v>200</v>
      </c>
      <c r="AK71" s="540">
        <v>350</v>
      </c>
      <c r="AL71" s="540">
        <v>35</v>
      </c>
      <c r="AM71" s="541">
        <f t="shared" ref="AM71:AM78" si="62">AJ71-(2*AL71)</f>
        <v>130</v>
      </c>
      <c r="AN71" s="541">
        <f t="shared" ref="AN71:AN78" si="63">AK71-(2*AL71)</f>
        <v>280</v>
      </c>
      <c r="AO71" s="542">
        <f t="shared" ref="AO71:AO78" si="64">2*(AM71+AN71)+(2*10*AI71)-(5*2*AI71)</f>
        <v>880</v>
      </c>
      <c r="AP71" s="542">
        <f t="shared" ref="AP71:AP78" si="65">AO71/1000</f>
        <v>0.88</v>
      </c>
      <c r="AS71" s="632" t="s">
        <v>667</v>
      </c>
      <c r="AT71" s="633" t="s">
        <v>664</v>
      </c>
    </row>
    <row r="72" spans="1:46">
      <c r="A72" s="802" t="s">
        <v>668</v>
      </c>
      <c r="B72" s="493">
        <v>16</v>
      </c>
      <c r="C72" s="496">
        <v>2</v>
      </c>
      <c r="D72" s="486">
        <f>B71</f>
        <v>16.431000000000001</v>
      </c>
      <c r="E72" s="488">
        <v>10</v>
      </c>
      <c r="F72" s="488">
        <f>((10*B72)*E71*C72)/1000</f>
        <v>0.64</v>
      </c>
      <c r="G72" s="488"/>
      <c r="H72" s="488">
        <f>(D72/6)*(0.04*B72)</f>
        <v>1.7526400000000002</v>
      </c>
      <c r="I72" s="488">
        <f>C72*(D72+F72+H72)</f>
        <v>37.647280000000002</v>
      </c>
      <c r="J72" s="488">
        <f t="shared" ref="J72:J77" si="66">B72*B72/162</f>
        <v>1.5802469135802468</v>
      </c>
      <c r="K72" s="489">
        <f t="shared" ref="K72:K77" si="67">(I72*J72)/1000</f>
        <v>5.9491998024691357E-2</v>
      </c>
      <c r="L72" s="54" t="s">
        <v>385</v>
      </c>
      <c r="M72" s="55">
        <v>400</v>
      </c>
      <c r="N72" s="505" t="s">
        <v>667</v>
      </c>
      <c r="O72" s="503">
        <v>1</v>
      </c>
      <c r="P72" s="503">
        <v>1</v>
      </c>
      <c r="Q72" s="503">
        <v>0</v>
      </c>
      <c r="R72" s="503">
        <v>0</v>
      </c>
      <c r="S72" s="503">
        <v>0</v>
      </c>
      <c r="T72" s="503">
        <v>0</v>
      </c>
      <c r="U72" s="503">
        <v>0</v>
      </c>
      <c r="V72" s="503">
        <v>0</v>
      </c>
      <c r="W72" s="503">
        <v>0</v>
      </c>
      <c r="X72" s="503">
        <v>0</v>
      </c>
      <c r="Y72" s="503">
        <v>0</v>
      </c>
      <c r="Z72" s="503">
        <v>0</v>
      </c>
      <c r="AA72" s="503">
        <v>0</v>
      </c>
      <c r="AB72" s="503">
        <v>0</v>
      </c>
      <c r="AC72" s="503">
        <v>0</v>
      </c>
      <c r="AD72" s="503">
        <v>0</v>
      </c>
      <c r="AE72" s="503">
        <v>0</v>
      </c>
      <c r="AF72" s="502">
        <f>SUM(O72:AE72)</f>
        <v>2</v>
      </c>
      <c r="AG72" s="969"/>
      <c r="AH72" s="519">
        <v>0</v>
      </c>
      <c r="AI72" s="520">
        <v>0</v>
      </c>
      <c r="AJ72" s="521">
        <v>0</v>
      </c>
      <c r="AK72" s="521">
        <v>0</v>
      </c>
      <c r="AL72" s="521">
        <v>0</v>
      </c>
      <c r="AM72" s="367">
        <f t="shared" si="62"/>
        <v>0</v>
      </c>
      <c r="AN72" s="367">
        <f t="shared" si="63"/>
        <v>0</v>
      </c>
      <c r="AO72" s="522">
        <f t="shared" si="64"/>
        <v>0</v>
      </c>
      <c r="AP72" s="522">
        <f t="shared" si="65"/>
        <v>0</v>
      </c>
      <c r="AS72" s="632" t="s">
        <v>669</v>
      </c>
      <c r="AT72" s="633" t="s">
        <v>664</v>
      </c>
    </row>
    <row r="73" spans="1:46">
      <c r="A73" s="802"/>
      <c r="B73" s="494">
        <v>16</v>
      </c>
      <c r="C73" s="497">
        <v>2</v>
      </c>
      <c r="D73" s="486">
        <f>B71</f>
        <v>16.431000000000001</v>
      </c>
      <c r="E73" s="488">
        <v>10</v>
      </c>
      <c r="F73" s="488">
        <f>((10*B73)*E71*C73)/1000</f>
        <v>0.64</v>
      </c>
      <c r="G73" s="488"/>
      <c r="H73" s="488">
        <f>(D73/6)*(0.04*B73)</f>
        <v>1.7526400000000002</v>
      </c>
      <c r="I73" s="488">
        <f>C73*(D73+F73+H73)</f>
        <v>37.647280000000002</v>
      </c>
      <c r="J73" s="488">
        <f t="shared" si="66"/>
        <v>1.5802469135802468</v>
      </c>
      <c r="K73" s="489">
        <f t="shared" si="67"/>
        <v>5.9491998024691357E-2</v>
      </c>
      <c r="L73" s="54" t="s">
        <v>694</v>
      </c>
      <c r="M73" s="55">
        <v>2</v>
      </c>
      <c r="N73" s="505" t="s">
        <v>671</v>
      </c>
      <c r="O73" s="511">
        <f t="shared" ref="O73:AE73" si="68">O71*0.7</f>
        <v>3.4404999999999997</v>
      </c>
      <c r="P73" s="511">
        <f t="shared" si="68"/>
        <v>3.7317</v>
      </c>
      <c r="Q73" s="511">
        <f t="shared" si="68"/>
        <v>4.3294999999999995</v>
      </c>
      <c r="R73" s="511">
        <f t="shared" si="68"/>
        <v>0</v>
      </c>
      <c r="S73" s="511">
        <f t="shared" si="68"/>
        <v>0</v>
      </c>
      <c r="T73" s="511">
        <f t="shared" si="68"/>
        <v>0</v>
      </c>
      <c r="U73" s="511">
        <f t="shared" si="68"/>
        <v>0</v>
      </c>
      <c r="V73" s="511">
        <f t="shared" si="68"/>
        <v>0</v>
      </c>
      <c r="W73" s="511">
        <f t="shared" si="68"/>
        <v>0</v>
      </c>
      <c r="X73" s="511">
        <f t="shared" si="68"/>
        <v>0</v>
      </c>
      <c r="Y73" s="511">
        <f t="shared" si="68"/>
        <v>0</v>
      </c>
      <c r="Z73" s="511">
        <f t="shared" si="68"/>
        <v>0</v>
      </c>
      <c r="AA73" s="511">
        <f t="shared" si="68"/>
        <v>0</v>
      </c>
      <c r="AB73" s="511">
        <f t="shared" si="68"/>
        <v>0</v>
      </c>
      <c r="AC73" s="511">
        <f t="shared" si="68"/>
        <v>0</v>
      </c>
      <c r="AD73" s="511">
        <f t="shared" si="68"/>
        <v>0</v>
      </c>
      <c r="AE73" s="511">
        <f t="shared" si="68"/>
        <v>0</v>
      </c>
      <c r="AF73" s="502"/>
      <c r="AG73" s="969"/>
      <c r="AH73" s="519">
        <v>0</v>
      </c>
      <c r="AI73" s="520">
        <v>0</v>
      </c>
      <c r="AJ73" s="521">
        <v>0</v>
      </c>
      <c r="AK73" s="521">
        <v>0</v>
      </c>
      <c r="AL73" s="521">
        <v>0</v>
      </c>
      <c r="AM73" s="367">
        <f t="shared" si="62"/>
        <v>0</v>
      </c>
      <c r="AN73" s="367">
        <f t="shared" si="63"/>
        <v>0</v>
      </c>
      <c r="AO73" s="522">
        <f t="shared" si="64"/>
        <v>0</v>
      </c>
      <c r="AP73" s="522">
        <f t="shared" si="65"/>
        <v>0</v>
      </c>
      <c r="AS73" s="632" t="s">
        <v>672</v>
      </c>
      <c r="AT73" s="633" t="s">
        <v>664</v>
      </c>
    </row>
    <row r="74" spans="1:46">
      <c r="A74" s="802" t="s">
        <v>683</v>
      </c>
      <c r="B74" s="494">
        <v>16</v>
      </c>
      <c r="C74" s="497">
        <v>2</v>
      </c>
      <c r="D74" s="486">
        <f>AF74</f>
        <v>12.5</v>
      </c>
      <c r="E74" s="488"/>
      <c r="F74" s="488"/>
      <c r="G74" s="488"/>
      <c r="H74" s="488">
        <f>(D74/6)*(0.04*B74)</f>
        <v>1.3333333333333335</v>
      </c>
      <c r="I74" s="488">
        <f>C74*(D74+F74+H74)</f>
        <v>27.666666666666668</v>
      </c>
      <c r="J74" s="488">
        <f t="shared" si="66"/>
        <v>1.5802469135802468</v>
      </c>
      <c r="K74" s="489">
        <f t="shared" si="67"/>
        <v>4.3720164609053501E-2</v>
      </c>
      <c r="L74" s="54" t="s">
        <v>695</v>
      </c>
      <c r="M74" s="55">
        <v>1</v>
      </c>
      <c r="N74" s="505" t="s">
        <v>675</v>
      </c>
      <c r="O74" s="510">
        <v>4</v>
      </c>
      <c r="P74" s="510">
        <v>4</v>
      </c>
      <c r="Q74" s="510">
        <v>4.5</v>
      </c>
      <c r="R74" s="510">
        <v>0</v>
      </c>
      <c r="S74" s="510">
        <v>0</v>
      </c>
      <c r="T74" s="510">
        <v>0</v>
      </c>
      <c r="U74" s="510">
        <v>0</v>
      </c>
      <c r="V74" s="510">
        <v>0</v>
      </c>
      <c r="W74" s="510">
        <v>0</v>
      </c>
      <c r="X74" s="510">
        <v>0</v>
      </c>
      <c r="Y74" s="510">
        <v>0</v>
      </c>
      <c r="Z74" s="510">
        <v>0</v>
      </c>
      <c r="AA74" s="510">
        <v>0</v>
      </c>
      <c r="AB74" s="510">
        <v>0</v>
      </c>
      <c r="AC74" s="510">
        <v>0</v>
      </c>
      <c r="AD74" s="510">
        <v>0</v>
      </c>
      <c r="AE74" s="510">
        <v>0</v>
      </c>
      <c r="AF74" s="502">
        <f>SUM(O74:AE74)</f>
        <v>12.5</v>
      </c>
      <c r="AG74" s="969"/>
      <c r="AH74" s="519">
        <v>0</v>
      </c>
      <c r="AI74" s="520">
        <v>0</v>
      </c>
      <c r="AJ74" s="521">
        <v>0</v>
      </c>
      <c r="AK74" s="521">
        <v>0</v>
      </c>
      <c r="AL74" s="521">
        <v>0</v>
      </c>
      <c r="AM74" s="367">
        <f t="shared" si="62"/>
        <v>0</v>
      </c>
      <c r="AN74" s="367">
        <f t="shared" si="63"/>
        <v>0</v>
      </c>
      <c r="AO74" s="522">
        <f t="shared" si="64"/>
        <v>0</v>
      </c>
      <c r="AP74" s="522">
        <f t="shared" si="65"/>
        <v>0</v>
      </c>
      <c r="AS74" s="632" t="s">
        <v>676</v>
      </c>
      <c r="AT74" s="633" t="s">
        <v>664</v>
      </c>
    </row>
    <row r="75" spans="1:46">
      <c r="A75" s="802" t="s">
        <v>677</v>
      </c>
      <c r="B75" s="494">
        <v>16</v>
      </c>
      <c r="C75" s="498">
        <v>3</v>
      </c>
      <c r="D75" s="486">
        <f>AF76</f>
        <v>7</v>
      </c>
      <c r="E75" s="488">
        <v>10</v>
      </c>
      <c r="F75" s="488">
        <f>((10*B75)*E71*C75)/1000</f>
        <v>0.96</v>
      </c>
      <c r="G75" s="488"/>
      <c r="H75" s="488">
        <f>(D75/6)*(0.04*B75)</f>
        <v>0.7466666666666667</v>
      </c>
      <c r="I75" s="488">
        <f>C75*(D75+F75+H75)</f>
        <v>26.12</v>
      </c>
      <c r="J75" s="488">
        <f t="shared" si="66"/>
        <v>1.5802469135802468</v>
      </c>
      <c r="K75" s="489">
        <f t="shared" si="67"/>
        <v>4.1276049382716049E-2</v>
      </c>
      <c r="L75" s="54" t="s">
        <v>696</v>
      </c>
      <c r="M75" s="55">
        <v>0.15</v>
      </c>
      <c r="N75" s="505" t="s">
        <v>679</v>
      </c>
      <c r="O75" s="511">
        <f t="shared" ref="O75:AE75" si="69">O71*0.35</f>
        <v>1.7202499999999998</v>
      </c>
      <c r="P75" s="511">
        <f t="shared" si="69"/>
        <v>1.86585</v>
      </c>
      <c r="Q75" s="511">
        <f t="shared" si="69"/>
        <v>2.1647499999999997</v>
      </c>
      <c r="R75" s="511">
        <f t="shared" si="69"/>
        <v>0</v>
      </c>
      <c r="S75" s="511">
        <f t="shared" si="69"/>
        <v>0</v>
      </c>
      <c r="T75" s="511">
        <f t="shared" si="69"/>
        <v>0</v>
      </c>
      <c r="U75" s="511">
        <f t="shared" si="69"/>
        <v>0</v>
      </c>
      <c r="V75" s="511">
        <f t="shared" si="69"/>
        <v>0</v>
      </c>
      <c r="W75" s="511">
        <f t="shared" si="69"/>
        <v>0</v>
      </c>
      <c r="X75" s="511">
        <f t="shared" si="69"/>
        <v>0</v>
      </c>
      <c r="Y75" s="511">
        <f t="shared" si="69"/>
        <v>0</v>
      </c>
      <c r="Z75" s="511">
        <f t="shared" si="69"/>
        <v>0</v>
      </c>
      <c r="AA75" s="511">
        <f t="shared" si="69"/>
        <v>0</v>
      </c>
      <c r="AB75" s="511">
        <f t="shared" si="69"/>
        <v>0</v>
      </c>
      <c r="AC75" s="511">
        <f t="shared" si="69"/>
        <v>0</v>
      </c>
      <c r="AD75" s="511">
        <f t="shared" si="69"/>
        <v>0</v>
      </c>
      <c r="AE75" s="511">
        <f t="shared" si="69"/>
        <v>0</v>
      </c>
      <c r="AF75" s="502"/>
      <c r="AG75" s="969"/>
      <c r="AH75" s="519">
        <v>0</v>
      </c>
      <c r="AI75" s="520">
        <v>0</v>
      </c>
      <c r="AJ75" s="521">
        <v>0</v>
      </c>
      <c r="AK75" s="521">
        <v>0</v>
      </c>
      <c r="AL75" s="521">
        <v>0</v>
      </c>
      <c r="AM75" s="367">
        <f t="shared" si="62"/>
        <v>0</v>
      </c>
      <c r="AN75" s="367">
        <f t="shared" si="63"/>
        <v>0</v>
      </c>
      <c r="AO75" s="522">
        <f t="shared" si="64"/>
        <v>0</v>
      </c>
      <c r="AP75" s="522">
        <f t="shared" si="65"/>
        <v>0</v>
      </c>
      <c r="AS75" s="632" t="s">
        <v>680</v>
      </c>
      <c r="AT75" s="633" t="s">
        <v>664</v>
      </c>
    </row>
    <row r="76" spans="1:46">
      <c r="A76" s="803">
        <f>M75</f>
        <v>0.15</v>
      </c>
      <c r="B76" s="494">
        <v>6</v>
      </c>
      <c r="C76" s="488">
        <f>(D75/A76)*I71</f>
        <v>93.333333333333343</v>
      </c>
      <c r="D76" s="486">
        <f>M77</f>
        <v>0.88</v>
      </c>
      <c r="E76" s="488"/>
      <c r="F76" s="488"/>
      <c r="G76" s="488"/>
      <c r="H76" s="488"/>
      <c r="I76" s="488">
        <f>D76*C76</f>
        <v>82.13333333333334</v>
      </c>
      <c r="J76" s="488">
        <f t="shared" si="66"/>
        <v>0.22222222222222221</v>
      </c>
      <c r="K76" s="489">
        <f t="shared" si="67"/>
        <v>1.8251851851851852E-2</v>
      </c>
      <c r="L76" s="54" t="s">
        <v>697</v>
      </c>
      <c r="M76" s="55">
        <v>0.15</v>
      </c>
      <c r="N76" s="506" t="s">
        <v>681</v>
      </c>
      <c r="O76" s="510">
        <v>2</v>
      </c>
      <c r="P76" s="510">
        <v>2</v>
      </c>
      <c r="Q76" s="510">
        <v>3</v>
      </c>
      <c r="R76" s="510">
        <v>0</v>
      </c>
      <c r="S76" s="510">
        <v>0</v>
      </c>
      <c r="T76" s="510">
        <v>0</v>
      </c>
      <c r="U76" s="510">
        <v>0</v>
      </c>
      <c r="V76" s="510">
        <v>0</v>
      </c>
      <c r="W76" s="510">
        <v>0</v>
      </c>
      <c r="X76" s="510">
        <v>0</v>
      </c>
      <c r="Y76" s="510">
        <v>0</v>
      </c>
      <c r="Z76" s="510">
        <v>0</v>
      </c>
      <c r="AA76" s="510">
        <v>0</v>
      </c>
      <c r="AB76" s="510">
        <v>0</v>
      </c>
      <c r="AC76" s="510">
        <v>0</v>
      </c>
      <c r="AD76" s="510">
        <v>0</v>
      </c>
      <c r="AE76" s="510">
        <v>0</v>
      </c>
      <c r="AF76" s="502">
        <f>SUM(O76:AE76)</f>
        <v>7</v>
      </c>
      <c r="AG76" s="969"/>
      <c r="AH76" s="519">
        <v>0</v>
      </c>
      <c r="AI76" s="520">
        <v>0</v>
      </c>
      <c r="AJ76" s="521">
        <v>0</v>
      </c>
      <c r="AK76" s="521">
        <v>0</v>
      </c>
      <c r="AL76" s="521">
        <v>0</v>
      </c>
      <c r="AM76" s="367">
        <f t="shared" si="62"/>
        <v>0</v>
      </c>
      <c r="AN76" s="367">
        <f t="shared" si="63"/>
        <v>0</v>
      </c>
      <c r="AO76" s="522">
        <f t="shared" si="64"/>
        <v>0</v>
      </c>
      <c r="AP76" s="522">
        <f t="shared" si="65"/>
        <v>0</v>
      </c>
      <c r="AS76" s="632" t="s">
        <v>682</v>
      </c>
      <c r="AT76" s="633" t="s">
        <v>664</v>
      </c>
    </row>
    <row r="77" spans="1:46">
      <c r="A77" s="490">
        <f>M76</f>
        <v>0.15</v>
      </c>
      <c r="B77" s="495">
        <v>6</v>
      </c>
      <c r="C77" s="491">
        <f>((B71-D75)/A77)*J71</f>
        <v>62.873333333333342</v>
      </c>
      <c r="D77" s="487">
        <f>M77</f>
        <v>0.88</v>
      </c>
      <c r="E77" s="491"/>
      <c r="F77" s="491"/>
      <c r="G77" s="491"/>
      <c r="H77" s="491"/>
      <c r="I77" s="491">
        <f>D77*C77</f>
        <v>55.32853333333334</v>
      </c>
      <c r="J77" s="491">
        <f t="shared" si="66"/>
        <v>0.22222222222222221</v>
      </c>
      <c r="K77" s="492">
        <f t="shared" si="67"/>
        <v>1.2295229629629631E-2</v>
      </c>
      <c r="L77" s="337" t="s">
        <v>698</v>
      </c>
      <c r="M77" s="338">
        <f>AP71</f>
        <v>0.88</v>
      </c>
      <c r="N77" s="507"/>
      <c r="O77" s="508"/>
      <c r="P77" s="508"/>
      <c r="Q77" s="508"/>
      <c r="R77" s="508"/>
      <c r="S77" s="508"/>
      <c r="T77" s="508"/>
      <c r="U77" s="508"/>
      <c r="V77" s="508"/>
      <c r="W77" s="508"/>
      <c r="X77" s="508"/>
      <c r="Y77" s="508"/>
      <c r="Z77" s="508"/>
      <c r="AA77" s="508"/>
      <c r="AB77" s="508"/>
      <c r="AC77" s="508"/>
      <c r="AD77" s="508"/>
      <c r="AE77" s="508"/>
      <c r="AF77" s="509"/>
      <c r="AG77" s="969"/>
      <c r="AH77" s="519">
        <v>0</v>
      </c>
      <c r="AI77" s="520">
        <v>0</v>
      </c>
      <c r="AJ77" s="521">
        <v>0</v>
      </c>
      <c r="AK77" s="521">
        <v>0</v>
      </c>
      <c r="AL77" s="521">
        <v>0</v>
      </c>
      <c r="AM77" s="367">
        <f t="shared" si="62"/>
        <v>0</v>
      </c>
      <c r="AN77" s="367">
        <f t="shared" si="63"/>
        <v>0</v>
      </c>
      <c r="AO77" s="522">
        <f t="shared" si="64"/>
        <v>0</v>
      </c>
      <c r="AP77" s="522">
        <f t="shared" si="65"/>
        <v>0</v>
      </c>
      <c r="AS77" s="632" t="s">
        <v>699</v>
      </c>
      <c r="AT77" s="633" t="s">
        <v>664</v>
      </c>
    </row>
    <row r="78" spans="1:46">
      <c r="A78" s="512"/>
      <c r="B78" s="513"/>
      <c r="C78" s="513"/>
      <c r="D78" s="514"/>
      <c r="E78" s="513"/>
      <c r="F78" s="513"/>
      <c r="G78" s="513"/>
      <c r="H78" s="513"/>
      <c r="I78" s="513"/>
      <c r="J78" s="513"/>
      <c r="K78" s="513"/>
      <c r="L78" s="515"/>
      <c r="M78" s="516"/>
      <c r="N78" s="515"/>
      <c r="O78" s="515"/>
      <c r="P78" s="515"/>
      <c r="Q78" s="515"/>
      <c r="R78" s="515"/>
      <c r="S78" s="515"/>
      <c r="T78" s="515"/>
      <c r="U78" s="515"/>
      <c r="V78" s="515"/>
      <c r="W78" s="515"/>
      <c r="X78" s="515"/>
      <c r="Y78" s="515"/>
      <c r="Z78" s="515"/>
      <c r="AA78" s="515"/>
      <c r="AB78" s="515"/>
      <c r="AC78" s="515"/>
      <c r="AD78" s="515"/>
      <c r="AE78" s="515"/>
      <c r="AF78" s="517"/>
      <c r="AG78" s="970"/>
      <c r="AH78" s="543">
        <v>0</v>
      </c>
      <c r="AI78" s="523">
        <v>0</v>
      </c>
      <c r="AJ78" s="524">
        <v>0</v>
      </c>
      <c r="AK78" s="524">
        <v>0</v>
      </c>
      <c r="AL78" s="524">
        <v>0</v>
      </c>
      <c r="AM78" s="525">
        <f t="shared" si="62"/>
        <v>0</v>
      </c>
      <c r="AN78" s="525">
        <f t="shared" si="63"/>
        <v>0</v>
      </c>
      <c r="AO78" s="526">
        <f t="shared" si="64"/>
        <v>0</v>
      </c>
      <c r="AP78" s="526">
        <f t="shared" si="65"/>
        <v>0</v>
      </c>
      <c r="AS78" s="499"/>
      <c r="AT78" s="500"/>
    </row>
    <row r="79" spans="1:46">
      <c r="A79" s="794"/>
      <c r="B79" s="795"/>
      <c r="C79" s="795"/>
      <c r="D79" s="796"/>
      <c r="E79" s="795"/>
      <c r="F79" s="795"/>
      <c r="G79" s="795"/>
      <c r="H79" s="795"/>
      <c r="I79" s="501" t="s">
        <v>689</v>
      </c>
      <c r="J79" s="501" t="s">
        <v>690</v>
      </c>
      <c r="K79" s="797"/>
      <c r="L79" s="527"/>
      <c r="M79" s="528"/>
      <c r="N79" s="529" t="s">
        <v>691</v>
      </c>
      <c r="O79" s="530"/>
      <c r="P79" s="531"/>
      <c r="Q79" s="531"/>
      <c r="R79" s="531"/>
      <c r="S79" s="531"/>
      <c r="T79" s="531"/>
      <c r="U79" s="531"/>
      <c r="V79" s="531"/>
      <c r="W79" s="531"/>
      <c r="X79" s="531"/>
      <c r="Y79" s="531"/>
      <c r="Z79" s="531"/>
      <c r="AA79" s="531"/>
      <c r="AB79" s="531"/>
      <c r="AC79" s="531"/>
      <c r="AD79" s="531"/>
      <c r="AE79" s="531"/>
      <c r="AF79" s="532"/>
      <c r="AG79" s="533"/>
      <c r="AH79" s="534"/>
      <c r="AI79" s="535"/>
      <c r="AJ79" s="536"/>
      <c r="AK79" s="536"/>
      <c r="AL79" s="536"/>
      <c r="AM79" s="536"/>
      <c r="AN79" s="536"/>
      <c r="AO79" s="536"/>
      <c r="AP79" s="537"/>
      <c r="AS79" s="632" t="s">
        <v>663</v>
      </c>
      <c r="AT79" s="633" t="s">
        <v>664</v>
      </c>
    </row>
    <row r="80" spans="1:46" ht="11.25" customHeight="1">
      <c r="A80" s="798" t="str">
        <f>N80</f>
        <v>B5</v>
      </c>
      <c r="B80" s="501">
        <f>AF80</f>
        <v>14.430000000000001</v>
      </c>
      <c r="C80" s="799" t="s">
        <v>422</v>
      </c>
      <c r="D80" s="800" t="s">
        <v>665</v>
      </c>
      <c r="E80" s="501">
        <f>AF81</f>
        <v>6</v>
      </c>
      <c r="F80" s="798">
        <f>M80</f>
        <v>200</v>
      </c>
      <c r="G80" s="501" t="s">
        <v>666</v>
      </c>
      <c r="H80" s="801">
        <f>M81</f>
        <v>430</v>
      </c>
      <c r="I80" s="501">
        <f>M82</f>
        <v>2</v>
      </c>
      <c r="J80" s="501">
        <f>M83</f>
        <v>1</v>
      </c>
      <c r="K80" s="799"/>
      <c r="L80" s="54" t="s">
        <v>384</v>
      </c>
      <c r="M80" s="55">
        <v>200</v>
      </c>
      <c r="N80" s="504" t="s">
        <v>703</v>
      </c>
      <c r="O80" s="503">
        <v>5.8150000000000004</v>
      </c>
      <c r="P80" s="503">
        <v>4.4649999999999999</v>
      </c>
      <c r="Q80" s="503">
        <v>4.1500000000000004</v>
      </c>
      <c r="R80" s="503">
        <v>0</v>
      </c>
      <c r="S80" s="503">
        <v>0</v>
      </c>
      <c r="T80" s="503">
        <v>0</v>
      </c>
      <c r="U80" s="503">
        <v>0</v>
      </c>
      <c r="V80" s="503">
        <v>0</v>
      </c>
      <c r="W80" s="503">
        <v>0</v>
      </c>
      <c r="X80" s="503">
        <v>0</v>
      </c>
      <c r="Y80" s="503">
        <v>0</v>
      </c>
      <c r="Z80" s="503">
        <v>0</v>
      </c>
      <c r="AA80" s="503">
        <v>0</v>
      </c>
      <c r="AB80" s="503">
        <v>0</v>
      </c>
      <c r="AC80" s="503">
        <v>0</v>
      </c>
      <c r="AD80" s="503">
        <v>0</v>
      </c>
      <c r="AE80" s="503">
        <v>0</v>
      </c>
      <c r="AF80" s="502">
        <f>SUM(O80:AE80)</f>
        <v>14.430000000000001</v>
      </c>
      <c r="AG80" s="968" t="s">
        <v>693</v>
      </c>
      <c r="AH80" s="538" t="s">
        <v>692</v>
      </c>
      <c r="AI80" s="539">
        <v>6</v>
      </c>
      <c r="AJ80" s="540">
        <v>200</v>
      </c>
      <c r="AK80" s="540">
        <v>350</v>
      </c>
      <c r="AL80" s="540">
        <v>35</v>
      </c>
      <c r="AM80" s="541">
        <f t="shared" ref="AM80:AM87" si="70">AJ80-(2*AL80)</f>
        <v>130</v>
      </c>
      <c r="AN80" s="541">
        <f t="shared" ref="AN80:AN87" si="71">AK80-(2*AL80)</f>
        <v>280</v>
      </c>
      <c r="AO80" s="542">
        <f t="shared" ref="AO80:AO87" si="72">2*(AM80+AN80)+(2*10*AI80)-(5*2*AI80)</f>
        <v>880</v>
      </c>
      <c r="AP80" s="542">
        <f t="shared" ref="AP80:AP87" si="73">AO80/1000</f>
        <v>0.88</v>
      </c>
      <c r="AS80" s="632" t="s">
        <v>667</v>
      </c>
      <c r="AT80" s="633" t="s">
        <v>664</v>
      </c>
    </row>
    <row r="81" spans="1:46">
      <c r="A81" s="802" t="s">
        <v>668</v>
      </c>
      <c r="B81" s="493">
        <v>16</v>
      </c>
      <c r="C81" s="496">
        <v>2</v>
      </c>
      <c r="D81" s="486">
        <f>B80</f>
        <v>14.430000000000001</v>
      </c>
      <c r="E81" s="488">
        <v>10</v>
      </c>
      <c r="F81" s="488">
        <f>((10*B81)*E80*C81)/1000</f>
        <v>1.92</v>
      </c>
      <c r="G81" s="488"/>
      <c r="H81" s="488">
        <f>(D81/6)*(0.04*B81)</f>
        <v>1.5392000000000001</v>
      </c>
      <c r="I81" s="488">
        <f>C81*(D81+F81+H81)</f>
        <v>35.778400000000005</v>
      </c>
      <c r="J81" s="488">
        <f t="shared" ref="J81:J86" si="74">B81*B81/162</f>
        <v>1.5802469135802468</v>
      </c>
      <c r="K81" s="489">
        <f t="shared" ref="K81:K86" si="75">(I81*J81)/1000</f>
        <v>5.6538706172839508E-2</v>
      </c>
      <c r="L81" s="54" t="s">
        <v>385</v>
      </c>
      <c r="M81" s="55">
        <v>430</v>
      </c>
      <c r="N81" s="505" t="s">
        <v>667</v>
      </c>
      <c r="O81" s="503">
        <v>2</v>
      </c>
      <c r="P81" s="503">
        <v>2</v>
      </c>
      <c r="Q81" s="503">
        <v>2</v>
      </c>
      <c r="R81" s="503">
        <v>0</v>
      </c>
      <c r="S81" s="503">
        <v>0</v>
      </c>
      <c r="T81" s="503">
        <v>0</v>
      </c>
      <c r="U81" s="503">
        <v>0</v>
      </c>
      <c r="V81" s="503">
        <v>0</v>
      </c>
      <c r="W81" s="503">
        <v>0</v>
      </c>
      <c r="X81" s="503">
        <v>0</v>
      </c>
      <c r="Y81" s="503">
        <v>0</v>
      </c>
      <c r="Z81" s="503">
        <v>0</v>
      </c>
      <c r="AA81" s="503">
        <v>0</v>
      </c>
      <c r="AB81" s="503">
        <v>0</v>
      </c>
      <c r="AC81" s="503">
        <v>0</v>
      </c>
      <c r="AD81" s="503">
        <v>0</v>
      </c>
      <c r="AE81" s="503">
        <v>0</v>
      </c>
      <c r="AF81" s="502">
        <f>SUM(O81:AE81)</f>
        <v>6</v>
      </c>
      <c r="AG81" s="969"/>
      <c r="AH81" s="519">
        <v>0</v>
      </c>
      <c r="AI81" s="520">
        <v>0</v>
      </c>
      <c r="AJ81" s="521">
        <v>0</v>
      </c>
      <c r="AK81" s="521">
        <v>0</v>
      </c>
      <c r="AL81" s="521">
        <v>0</v>
      </c>
      <c r="AM81" s="367">
        <f t="shared" si="70"/>
        <v>0</v>
      </c>
      <c r="AN81" s="367">
        <f t="shared" si="71"/>
        <v>0</v>
      </c>
      <c r="AO81" s="522">
        <f t="shared" si="72"/>
        <v>0</v>
      </c>
      <c r="AP81" s="522">
        <f t="shared" si="73"/>
        <v>0</v>
      </c>
      <c r="AS81" s="632" t="s">
        <v>669</v>
      </c>
      <c r="AT81" s="633" t="s">
        <v>664</v>
      </c>
    </row>
    <row r="82" spans="1:46">
      <c r="A82" s="802"/>
      <c r="B82" s="494">
        <v>16</v>
      </c>
      <c r="C82" s="497">
        <v>2</v>
      </c>
      <c r="D82" s="486">
        <f>B80</f>
        <v>14.430000000000001</v>
      </c>
      <c r="E82" s="488">
        <v>10</v>
      </c>
      <c r="F82" s="488">
        <f>((10*B82)*E80*C82)/1000</f>
        <v>1.92</v>
      </c>
      <c r="G82" s="488"/>
      <c r="H82" s="488">
        <f>(D82/6)*(0.04*B82)</f>
        <v>1.5392000000000001</v>
      </c>
      <c r="I82" s="488">
        <f>C82*(D82+F82+H82)</f>
        <v>35.778400000000005</v>
      </c>
      <c r="J82" s="488">
        <f t="shared" si="74"/>
        <v>1.5802469135802468</v>
      </c>
      <c r="K82" s="489">
        <f t="shared" si="75"/>
        <v>5.6538706172839508E-2</v>
      </c>
      <c r="L82" s="54" t="s">
        <v>694</v>
      </c>
      <c r="M82" s="55">
        <v>2</v>
      </c>
      <c r="N82" s="505" t="s">
        <v>671</v>
      </c>
      <c r="O82" s="511">
        <f t="shared" ref="O82:AE82" si="76">O80*0.7</f>
        <v>4.0705</v>
      </c>
      <c r="P82" s="511">
        <f t="shared" si="76"/>
        <v>3.1254999999999997</v>
      </c>
      <c r="Q82" s="511">
        <f t="shared" si="76"/>
        <v>2.9050000000000002</v>
      </c>
      <c r="R82" s="511">
        <f t="shared" si="76"/>
        <v>0</v>
      </c>
      <c r="S82" s="511">
        <f t="shared" si="76"/>
        <v>0</v>
      </c>
      <c r="T82" s="511">
        <f t="shared" si="76"/>
        <v>0</v>
      </c>
      <c r="U82" s="511">
        <f t="shared" si="76"/>
        <v>0</v>
      </c>
      <c r="V82" s="511">
        <f t="shared" si="76"/>
        <v>0</v>
      </c>
      <c r="W82" s="511">
        <f t="shared" si="76"/>
        <v>0</v>
      </c>
      <c r="X82" s="511">
        <f t="shared" si="76"/>
        <v>0</v>
      </c>
      <c r="Y82" s="511">
        <f t="shared" si="76"/>
        <v>0</v>
      </c>
      <c r="Z82" s="511">
        <f t="shared" si="76"/>
        <v>0</v>
      </c>
      <c r="AA82" s="511">
        <f t="shared" si="76"/>
        <v>0</v>
      </c>
      <c r="AB82" s="511">
        <f t="shared" si="76"/>
        <v>0</v>
      </c>
      <c r="AC82" s="511">
        <f t="shared" si="76"/>
        <v>0</v>
      </c>
      <c r="AD82" s="511">
        <f t="shared" si="76"/>
        <v>0</v>
      </c>
      <c r="AE82" s="511">
        <f t="shared" si="76"/>
        <v>0</v>
      </c>
      <c r="AF82" s="502"/>
      <c r="AG82" s="969"/>
      <c r="AH82" s="519">
        <v>0</v>
      </c>
      <c r="AI82" s="520">
        <v>0</v>
      </c>
      <c r="AJ82" s="521">
        <v>0</v>
      </c>
      <c r="AK82" s="521">
        <v>0</v>
      </c>
      <c r="AL82" s="521">
        <v>0</v>
      </c>
      <c r="AM82" s="367">
        <f t="shared" si="70"/>
        <v>0</v>
      </c>
      <c r="AN82" s="367">
        <f t="shared" si="71"/>
        <v>0</v>
      </c>
      <c r="AO82" s="522">
        <f t="shared" si="72"/>
        <v>0</v>
      </c>
      <c r="AP82" s="522">
        <f t="shared" si="73"/>
        <v>0</v>
      </c>
      <c r="AS82" s="632" t="s">
        <v>672</v>
      </c>
      <c r="AT82" s="633" t="s">
        <v>664</v>
      </c>
    </row>
    <row r="83" spans="1:46">
      <c r="A83" s="802" t="s">
        <v>683</v>
      </c>
      <c r="B83" s="494">
        <v>16</v>
      </c>
      <c r="C83" s="497">
        <v>2</v>
      </c>
      <c r="D83" s="486">
        <f>AF83</f>
        <v>11</v>
      </c>
      <c r="E83" s="488"/>
      <c r="F83" s="488"/>
      <c r="G83" s="488"/>
      <c r="H83" s="488">
        <f>(D83/6)*(0.04*B83)</f>
        <v>1.1733333333333333</v>
      </c>
      <c r="I83" s="488">
        <f>C83*(D83+F83+H83)</f>
        <v>24.346666666666668</v>
      </c>
      <c r="J83" s="488">
        <f t="shared" si="74"/>
        <v>1.5802469135802468</v>
      </c>
      <c r="K83" s="489">
        <f t="shared" si="75"/>
        <v>3.8473744855967079E-2</v>
      </c>
      <c r="L83" s="54" t="s">
        <v>695</v>
      </c>
      <c r="M83" s="55">
        <v>1</v>
      </c>
      <c r="N83" s="505" t="s">
        <v>675</v>
      </c>
      <c r="O83" s="510">
        <v>4.5</v>
      </c>
      <c r="P83" s="510">
        <v>3.5</v>
      </c>
      <c r="Q83" s="510">
        <v>3</v>
      </c>
      <c r="R83" s="510">
        <v>0</v>
      </c>
      <c r="S83" s="510">
        <v>0</v>
      </c>
      <c r="T83" s="510">
        <v>0</v>
      </c>
      <c r="U83" s="510">
        <v>0</v>
      </c>
      <c r="V83" s="510">
        <v>0</v>
      </c>
      <c r="W83" s="510">
        <v>0</v>
      </c>
      <c r="X83" s="510">
        <v>0</v>
      </c>
      <c r="Y83" s="510">
        <v>0</v>
      </c>
      <c r="Z83" s="510">
        <v>0</v>
      </c>
      <c r="AA83" s="510">
        <v>0</v>
      </c>
      <c r="AB83" s="510">
        <v>0</v>
      </c>
      <c r="AC83" s="510">
        <v>0</v>
      </c>
      <c r="AD83" s="510">
        <v>0</v>
      </c>
      <c r="AE83" s="510">
        <v>0</v>
      </c>
      <c r="AF83" s="502">
        <f>SUM(O83:AE83)</f>
        <v>11</v>
      </c>
      <c r="AG83" s="969"/>
      <c r="AH83" s="519">
        <v>0</v>
      </c>
      <c r="AI83" s="520">
        <v>0</v>
      </c>
      <c r="AJ83" s="521">
        <v>0</v>
      </c>
      <c r="AK83" s="521">
        <v>0</v>
      </c>
      <c r="AL83" s="521">
        <v>0</v>
      </c>
      <c r="AM83" s="367">
        <f t="shared" si="70"/>
        <v>0</v>
      </c>
      <c r="AN83" s="367">
        <f t="shared" si="71"/>
        <v>0</v>
      </c>
      <c r="AO83" s="522">
        <f t="shared" si="72"/>
        <v>0</v>
      </c>
      <c r="AP83" s="522">
        <f t="shared" si="73"/>
        <v>0</v>
      </c>
      <c r="AS83" s="632" t="s">
        <v>676</v>
      </c>
      <c r="AT83" s="633" t="s">
        <v>664</v>
      </c>
    </row>
    <row r="84" spans="1:46">
      <c r="A84" s="802" t="s">
        <v>677</v>
      </c>
      <c r="B84" s="494">
        <v>16</v>
      </c>
      <c r="C84" s="498">
        <v>0</v>
      </c>
      <c r="D84" s="486">
        <f>AF85</f>
        <v>5.5</v>
      </c>
      <c r="E84" s="488">
        <v>10</v>
      </c>
      <c r="F84" s="488">
        <f>((10*B84)*E80*C84)/1000</f>
        <v>0</v>
      </c>
      <c r="G84" s="488"/>
      <c r="H84" s="488">
        <f>(D84/6)*(0.04*B84)</f>
        <v>0.58666666666666667</v>
      </c>
      <c r="I84" s="488">
        <f>C84*(D84+F84+H84)</f>
        <v>0</v>
      </c>
      <c r="J84" s="488">
        <f t="shared" si="74"/>
        <v>1.5802469135802468</v>
      </c>
      <c r="K84" s="489">
        <f t="shared" si="75"/>
        <v>0</v>
      </c>
      <c r="L84" s="54" t="s">
        <v>696</v>
      </c>
      <c r="M84" s="55">
        <v>0.15</v>
      </c>
      <c r="N84" s="505" t="s">
        <v>679</v>
      </c>
      <c r="O84" s="511">
        <f t="shared" ref="O84:AE84" si="77">O80*0.35</f>
        <v>2.03525</v>
      </c>
      <c r="P84" s="511">
        <f t="shared" si="77"/>
        <v>1.5627499999999999</v>
      </c>
      <c r="Q84" s="511">
        <f t="shared" si="77"/>
        <v>1.4525000000000001</v>
      </c>
      <c r="R84" s="511">
        <f t="shared" si="77"/>
        <v>0</v>
      </c>
      <c r="S84" s="511">
        <f t="shared" si="77"/>
        <v>0</v>
      </c>
      <c r="T84" s="511">
        <f t="shared" si="77"/>
        <v>0</v>
      </c>
      <c r="U84" s="511">
        <f t="shared" si="77"/>
        <v>0</v>
      </c>
      <c r="V84" s="511">
        <f t="shared" si="77"/>
        <v>0</v>
      </c>
      <c r="W84" s="511">
        <f t="shared" si="77"/>
        <v>0</v>
      </c>
      <c r="X84" s="511">
        <f t="shared" si="77"/>
        <v>0</v>
      </c>
      <c r="Y84" s="511">
        <f t="shared" si="77"/>
        <v>0</v>
      </c>
      <c r="Z84" s="511">
        <f t="shared" si="77"/>
        <v>0</v>
      </c>
      <c r="AA84" s="511">
        <f t="shared" si="77"/>
        <v>0</v>
      </c>
      <c r="AB84" s="511">
        <f t="shared" si="77"/>
        <v>0</v>
      </c>
      <c r="AC84" s="511">
        <f t="shared" si="77"/>
        <v>0</v>
      </c>
      <c r="AD84" s="511">
        <f t="shared" si="77"/>
        <v>0</v>
      </c>
      <c r="AE84" s="511">
        <f t="shared" si="77"/>
        <v>0</v>
      </c>
      <c r="AF84" s="502"/>
      <c r="AG84" s="969"/>
      <c r="AH84" s="519">
        <v>0</v>
      </c>
      <c r="AI84" s="520">
        <v>0</v>
      </c>
      <c r="AJ84" s="521">
        <v>0</v>
      </c>
      <c r="AK84" s="521">
        <v>0</v>
      </c>
      <c r="AL84" s="521">
        <v>0</v>
      </c>
      <c r="AM84" s="367">
        <f t="shared" si="70"/>
        <v>0</v>
      </c>
      <c r="AN84" s="367">
        <f t="shared" si="71"/>
        <v>0</v>
      </c>
      <c r="AO84" s="522">
        <f t="shared" si="72"/>
        <v>0</v>
      </c>
      <c r="AP84" s="522">
        <f t="shared" si="73"/>
        <v>0</v>
      </c>
      <c r="AS84" s="632" t="s">
        <v>680</v>
      </c>
      <c r="AT84" s="633" t="s">
        <v>664</v>
      </c>
    </row>
    <row r="85" spans="1:46">
      <c r="A85" s="803">
        <f>M84</f>
        <v>0.15</v>
      </c>
      <c r="B85" s="494">
        <v>6</v>
      </c>
      <c r="C85" s="488">
        <f>(D84/A85)*I80</f>
        <v>73.333333333333343</v>
      </c>
      <c r="D85" s="486">
        <f>M86</f>
        <v>0.88</v>
      </c>
      <c r="E85" s="488"/>
      <c r="F85" s="488"/>
      <c r="G85" s="488"/>
      <c r="H85" s="488"/>
      <c r="I85" s="488">
        <f>D85*C85</f>
        <v>64.533333333333346</v>
      </c>
      <c r="J85" s="488">
        <f t="shared" si="74"/>
        <v>0.22222222222222221</v>
      </c>
      <c r="K85" s="489">
        <f t="shared" si="75"/>
        <v>1.4340740740740742E-2</v>
      </c>
      <c r="L85" s="54" t="s">
        <v>697</v>
      </c>
      <c r="M85" s="55">
        <v>0.15</v>
      </c>
      <c r="N85" s="506" t="s">
        <v>681</v>
      </c>
      <c r="O85" s="510">
        <v>2</v>
      </c>
      <c r="P85" s="510">
        <v>2</v>
      </c>
      <c r="Q85" s="510">
        <v>1.5</v>
      </c>
      <c r="R85" s="510">
        <v>0</v>
      </c>
      <c r="S85" s="510">
        <v>0</v>
      </c>
      <c r="T85" s="510">
        <v>0</v>
      </c>
      <c r="U85" s="510">
        <v>0</v>
      </c>
      <c r="V85" s="510">
        <v>0</v>
      </c>
      <c r="W85" s="510">
        <v>0</v>
      </c>
      <c r="X85" s="510">
        <v>0</v>
      </c>
      <c r="Y85" s="510">
        <v>0</v>
      </c>
      <c r="Z85" s="510">
        <v>0</v>
      </c>
      <c r="AA85" s="510">
        <v>0</v>
      </c>
      <c r="AB85" s="510">
        <v>0</v>
      </c>
      <c r="AC85" s="510">
        <v>0</v>
      </c>
      <c r="AD85" s="510">
        <v>0</v>
      </c>
      <c r="AE85" s="510">
        <v>0</v>
      </c>
      <c r="AF85" s="502">
        <f>SUM(O85:AE85)</f>
        <v>5.5</v>
      </c>
      <c r="AG85" s="969"/>
      <c r="AH85" s="519">
        <v>0</v>
      </c>
      <c r="AI85" s="520">
        <v>0</v>
      </c>
      <c r="AJ85" s="521">
        <v>0</v>
      </c>
      <c r="AK85" s="521">
        <v>0</v>
      </c>
      <c r="AL85" s="521">
        <v>0</v>
      </c>
      <c r="AM85" s="367">
        <f t="shared" si="70"/>
        <v>0</v>
      </c>
      <c r="AN85" s="367">
        <f t="shared" si="71"/>
        <v>0</v>
      </c>
      <c r="AO85" s="522">
        <f t="shared" si="72"/>
        <v>0</v>
      </c>
      <c r="AP85" s="522">
        <f t="shared" si="73"/>
        <v>0</v>
      </c>
      <c r="AS85" s="632" t="s">
        <v>682</v>
      </c>
      <c r="AT85" s="633" t="s">
        <v>664</v>
      </c>
    </row>
    <row r="86" spans="1:46">
      <c r="A86" s="490">
        <f>M85</f>
        <v>0.15</v>
      </c>
      <c r="B86" s="495">
        <v>6</v>
      </c>
      <c r="C86" s="491">
        <f>((B80-D84)/A86)*J80</f>
        <v>59.533333333333346</v>
      </c>
      <c r="D86" s="487">
        <f>M86</f>
        <v>0.88</v>
      </c>
      <c r="E86" s="491"/>
      <c r="F86" s="491"/>
      <c r="G86" s="491"/>
      <c r="H86" s="491"/>
      <c r="I86" s="491">
        <f>D86*C86</f>
        <v>52.389333333333347</v>
      </c>
      <c r="J86" s="491">
        <f t="shared" si="74"/>
        <v>0.22222222222222221</v>
      </c>
      <c r="K86" s="492">
        <f t="shared" si="75"/>
        <v>1.1642074074074076E-2</v>
      </c>
      <c r="L86" s="337" t="s">
        <v>698</v>
      </c>
      <c r="M86" s="338">
        <f>AP80</f>
        <v>0.88</v>
      </c>
      <c r="N86" s="507"/>
      <c r="O86" s="508"/>
      <c r="P86" s="508"/>
      <c r="Q86" s="508"/>
      <c r="R86" s="508"/>
      <c r="S86" s="508"/>
      <c r="T86" s="508"/>
      <c r="U86" s="508"/>
      <c r="V86" s="508"/>
      <c r="W86" s="508"/>
      <c r="X86" s="508"/>
      <c r="Y86" s="508"/>
      <c r="Z86" s="508"/>
      <c r="AA86" s="508"/>
      <c r="AB86" s="508"/>
      <c r="AC86" s="508"/>
      <c r="AD86" s="508"/>
      <c r="AE86" s="508"/>
      <c r="AF86" s="509"/>
      <c r="AG86" s="969"/>
      <c r="AH86" s="519">
        <v>0</v>
      </c>
      <c r="AI86" s="520">
        <v>0</v>
      </c>
      <c r="AJ86" s="521">
        <v>0</v>
      </c>
      <c r="AK86" s="521">
        <v>0</v>
      </c>
      <c r="AL86" s="521">
        <v>0</v>
      </c>
      <c r="AM86" s="367">
        <f t="shared" si="70"/>
        <v>0</v>
      </c>
      <c r="AN86" s="367">
        <f t="shared" si="71"/>
        <v>0</v>
      </c>
      <c r="AO86" s="522">
        <f t="shared" si="72"/>
        <v>0</v>
      </c>
      <c r="AP86" s="522">
        <f t="shared" si="73"/>
        <v>0</v>
      </c>
      <c r="AS86" s="632" t="s">
        <v>699</v>
      </c>
      <c r="AT86" s="633" t="s">
        <v>664</v>
      </c>
    </row>
    <row r="87" spans="1:46">
      <c r="A87" s="512"/>
      <c r="B87" s="513"/>
      <c r="C87" s="513"/>
      <c r="D87" s="514"/>
      <c r="E87" s="513"/>
      <c r="F87" s="513"/>
      <c r="G87" s="513"/>
      <c r="H87" s="513"/>
      <c r="I87" s="513"/>
      <c r="J87" s="513"/>
      <c r="K87" s="513"/>
      <c r="L87" s="515"/>
      <c r="M87" s="516"/>
      <c r="N87" s="515"/>
      <c r="O87" s="515"/>
      <c r="P87" s="515"/>
      <c r="Q87" s="515"/>
      <c r="R87" s="515"/>
      <c r="S87" s="515"/>
      <c r="T87" s="515"/>
      <c r="U87" s="515"/>
      <c r="V87" s="515"/>
      <c r="W87" s="515"/>
      <c r="X87" s="515"/>
      <c r="Y87" s="515"/>
      <c r="Z87" s="515"/>
      <c r="AA87" s="515"/>
      <c r="AB87" s="515"/>
      <c r="AC87" s="515"/>
      <c r="AD87" s="515"/>
      <c r="AE87" s="515"/>
      <c r="AF87" s="517"/>
      <c r="AG87" s="970"/>
      <c r="AH87" s="543">
        <v>0</v>
      </c>
      <c r="AI87" s="523">
        <v>0</v>
      </c>
      <c r="AJ87" s="524">
        <v>0</v>
      </c>
      <c r="AK87" s="524">
        <v>0</v>
      </c>
      <c r="AL87" s="524">
        <v>0</v>
      </c>
      <c r="AM87" s="525">
        <f t="shared" si="70"/>
        <v>0</v>
      </c>
      <c r="AN87" s="525">
        <f t="shared" si="71"/>
        <v>0</v>
      </c>
      <c r="AO87" s="526">
        <f t="shared" si="72"/>
        <v>0</v>
      </c>
      <c r="AP87" s="526">
        <f t="shared" si="73"/>
        <v>0</v>
      </c>
      <c r="AS87" s="499"/>
      <c r="AT87" s="500"/>
    </row>
    <row r="88" spans="1:46" hidden="1">
      <c r="A88" s="794"/>
      <c r="B88" s="795"/>
      <c r="C88" s="795"/>
      <c r="D88" s="796"/>
      <c r="E88" s="795"/>
      <c r="F88" s="795"/>
      <c r="G88" s="795"/>
      <c r="H88" s="795"/>
      <c r="I88" s="501" t="s">
        <v>689</v>
      </c>
      <c r="J88" s="501" t="s">
        <v>690</v>
      </c>
      <c r="K88" s="797"/>
      <c r="L88" s="527"/>
      <c r="M88" s="528"/>
      <c r="N88" s="529" t="s">
        <v>691</v>
      </c>
      <c r="O88" s="530"/>
      <c r="P88" s="531"/>
      <c r="Q88" s="531"/>
      <c r="R88" s="531"/>
      <c r="S88" s="531"/>
      <c r="T88" s="531"/>
      <c r="U88" s="531"/>
      <c r="V88" s="531"/>
      <c r="W88" s="531"/>
      <c r="X88" s="531"/>
      <c r="Y88" s="531"/>
      <c r="Z88" s="531"/>
      <c r="AA88" s="531"/>
      <c r="AB88" s="531"/>
      <c r="AC88" s="531"/>
      <c r="AD88" s="531"/>
      <c r="AE88" s="531"/>
      <c r="AF88" s="532"/>
      <c r="AG88" s="533"/>
      <c r="AH88" s="534"/>
      <c r="AI88" s="535"/>
      <c r="AJ88" s="536"/>
      <c r="AK88" s="536"/>
      <c r="AL88" s="536"/>
      <c r="AM88" s="536"/>
      <c r="AN88" s="536"/>
      <c r="AO88" s="536"/>
      <c r="AP88" s="537"/>
      <c r="AS88" s="632" t="s">
        <v>663</v>
      </c>
      <c r="AT88" s="633" t="s">
        <v>664</v>
      </c>
    </row>
    <row r="89" spans="1:46" ht="11.25" hidden="1" customHeight="1">
      <c r="A89" s="798" t="str">
        <f>N89</f>
        <v>B4</v>
      </c>
      <c r="B89" s="501">
        <f>AF89</f>
        <v>25.059000000000001</v>
      </c>
      <c r="C89" s="799" t="s">
        <v>422</v>
      </c>
      <c r="D89" s="800" t="s">
        <v>665</v>
      </c>
      <c r="E89" s="501">
        <f>AF90</f>
        <v>6</v>
      </c>
      <c r="F89" s="798">
        <f>M89</f>
        <v>200</v>
      </c>
      <c r="G89" s="501" t="s">
        <v>666</v>
      </c>
      <c r="H89" s="801">
        <f>M90</f>
        <v>430</v>
      </c>
      <c r="I89" s="501">
        <f>M91</f>
        <v>2</v>
      </c>
      <c r="J89" s="501">
        <f>M92</f>
        <v>1</v>
      </c>
      <c r="K89" s="799"/>
      <c r="L89" s="54" t="s">
        <v>384</v>
      </c>
      <c r="M89" s="55">
        <v>200</v>
      </c>
      <c r="N89" s="504" t="s">
        <v>702</v>
      </c>
      <c r="O89" s="503">
        <v>2.94</v>
      </c>
      <c r="P89" s="503">
        <v>3.86</v>
      </c>
      <c r="Q89" s="503">
        <v>5.9550000000000001</v>
      </c>
      <c r="R89" s="503">
        <v>4.0650000000000004</v>
      </c>
      <c r="S89" s="503">
        <v>3.95</v>
      </c>
      <c r="T89" s="503">
        <v>3.077</v>
      </c>
      <c r="U89" s="503">
        <v>1.212</v>
      </c>
      <c r="V89" s="503">
        <v>0</v>
      </c>
      <c r="W89" s="503">
        <v>0</v>
      </c>
      <c r="X89" s="503">
        <v>0</v>
      </c>
      <c r="Y89" s="503">
        <v>0</v>
      </c>
      <c r="Z89" s="503">
        <v>0</v>
      </c>
      <c r="AA89" s="503">
        <v>0</v>
      </c>
      <c r="AB89" s="503">
        <v>0</v>
      </c>
      <c r="AC89" s="503">
        <v>0</v>
      </c>
      <c r="AD89" s="503">
        <v>0</v>
      </c>
      <c r="AE89" s="503">
        <v>0</v>
      </c>
      <c r="AF89" s="502">
        <f>SUM(O89:AE89)</f>
        <v>25.059000000000001</v>
      </c>
      <c r="AG89" s="968" t="s">
        <v>693</v>
      </c>
      <c r="AH89" s="538" t="s">
        <v>692</v>
      </c>
      <c r="AI89" s="539">
        <v>6</v>
      </c>
      <c r="AJ89" s="540">
        <v>200</v>
      </c>
      <c r="AK89" s="540">
        <v>350</v>
      </c>
      <c r="AL89" s="540">
        <v>35</v>
      </c>
      <c r="AM89" s="541">
        <f t="shared" ref="AM89:AM96" si="78">AJ89-(2*AL89)</f>
        <v>130</v>
      </c>
      <c r="AN89" s="541">
        <f t="shared" ref="AN89:AN96" si="79">AK89-(2*AL89)</f>
        <v>280</v>
      </c>
      <c r="AO89" s="542">
        <f t="shared" ref="AO89:AO96" si="80">2*(AM89+AN89)+(2*10*AI89)-(5*2*AI89)</f>
        <v>880</v>
      </c>
      <c r="AP89" s="542">
        <f t="shared" ref="AP89:AP96" si="81">AO89/1000</f>
        <v>0.88</v>
      </c>
      <c r="AS89" s="632" t="s">
        <v>667</v>
      </c>
      <c r="AT89" s="633" t="s">
        <v>664</v>
      </c>
    </row>
    <row r="90" spans="1:46" hidden="1">
      <c r="A90" s="802" t="s">
        <v>668</v>
      </c>
      <c r="B90" s="493">
        <v>16</v>
      </c>
      <c r="C90" s="496">
        <v>2</v>
      </c>
      <c r="D90" s="486">
        <f>B89</f>
        <v>25.059000000000001</v>
      </c>
      <c r="E90" s="488">
        <v>10</v>
      </c>
      <c r="F90" s="488">
        <f>((10*B90)*E89*C90)/1000</f>
        <v>1.92</v>
      </c>
      <c r="G90" s="488"/>
      <c r="H90" s="488">
        <f>(D90/6)*(0.04*B90)</f>
        <v>2.6729599999999998</v>
      </c>
      <c r="I90" s="488">
        <f>C90*(D90+F90+H90)</f>
        <v>59.303919999999998</v>
      </c>
      <c r="J90" s="488">
        <f t="shared" ref="J90:J95" si="82">B90*B90/162</f>
        <v>1.5802469135802468</v>
      </c>
      <c r="K90" s="489">
        <f t="shared" ref="K90:K95" si="83">(I90*J90)/1000</f>
        <v>9.3714836543209876E-2</v>
      </c>
      <c r="L90" s="54" t="s">
        <v>385</v>
      </c>
      <c r="M90" s="55">
        <v>430</v>
      </c>
      <c r="N90" s="505" t="s">
        <v>667</v>
      </c>
      <c r="O90" s="503">
        <v>1</v>
      </c>
      <c r="P90" s="503">
        <v>1</v>
      </c>
      <c r="Q90" s="503">
        <v>0</v>
      </c>
      <c r="R90" s="503">
        <v>1</v>
      </c>
      <c r="S90" s="503">
        <v>1</v>
      </c>
      <c r="T90" s="503">
        <v>1</v>
      </c>
      <c r="U90" s="503">
        <v>1</v>
      </c>
      <c r="V90" s="503">
        <v>0</v>
      </c>
      <c r="W90" s="503">
        <v>0</v>
      </c>
      <c r="X90" s="503">
        <v>0</v>
      </c>
      <c r="Y90" s="503">
        <v>0</v>
      </c>
      <c r="Z90" s="503">
        <v>0</v>
      </c>
      <c r="AA90" s="503">
        <v>0</v>
      </c>
      <c r="AB90" s="503">
        <v>0</v>
      </c>
      <c r="AC90" s="503">
        <v>0</v>
      </c>
      <c r="AD90" s="503">
        <v>0</v>
      </c>
      <c r="AE90" s="503">
        <v>0</v>
      </c>
      <c r="AF90" s="502">
        <f>SUM(O90:AE90)</f>
        <v>6</v>
      </c>
      <c r="AG90" s="969"/>
      <c r="AH90" s="519">
        <v>0</v>
      </c>
      <c r="AI90" s="520">
        <v>0</v>
      </c>
      <c r="AJ90" s="521">
        <v>0</v>
      </c>
      <c r="AK90" s="521">
        <v>0</v>
      </c>
      <c r="AL90" s="521">
        <v>0</v>
      </c>
      <c r="AM90" s="367">
        <f t="shared" si="78"/>
        <v>0</v>
      </c>
      <c r="AN90" s="367">
        <f t="shared" si="79"/>
        <v>0</v>
      </c>
      <c r="AO90" s="522">
        <f t="shared" si="80"/>
        <v>0</v>
      </c>
      <c r="AP90" s="522">
        <f t="shared" si="81"/>
        <v>0</v>
      </c>
      <c r="AS90" s="632" t="s">
        <v>669</v>
      </c>
      <c r="AT90" s="633" t="s">
        <v>664</v>
      </c>
    </row>
    <row r="91" spans="1:46" hidden="1">
      <c r="A91" s="802"/>
      <c r="B91" s="494">
        <v>16</v>
      </c>
      <c r="C91" s="497">
        <v>2</v>
      </c>
      <c r="D91" s="486">
        <f>B89</f>
        <v>25.059000000000001</v>
      </c>
      <c r="E91" s="488">
        <v>10</v>
      </c>
      <c r="F91" s="488">
        <f>((10*B91)*E89*C91)/1000</f>
        <v>1.92</v>
      </c>
      <c r="G91" s="488"/>
      <c r="H91" s="488">
        <f>(D91/6)*(0.04*B91)</f>
        <v>2.6729599999999998</v>
      </c>
      <c r="I91" s="488">
        <f>C91*(D91+F91+H91)</f>
        <v>59.303919999999998</v>
      </c>
      <c r="J91" s="488">
        <f t="shared" si="82"/>
        <v>1.5802469135802468</v>
      </c>
      <c r="K91" s="489">
        <f t="shared" si="83"/>
        <v>9.3714836543209876E-2</v>
      </c>
      <c r="L91" s="54" t="s">
        <v>694</v>
      </c>
      <c r="M91" s="55">
        <v>2</v>
      </c>
      <c r="N91" s="505" t="s">
        <v>671</v>
      </c>
      <c r="O91" s="511">
        <f t="shared" ref="O91:AE91" si="84">O89*0.7</f>
        <v>2.0579999999999998</v>
      </c>
      <c r="P91" s="511">
        <f t="shared" si="84"/>
        <v>2.702</v>
      </c>
      <c r="Q91" s="511">
        <f t="shared" si="84"/>
        <v>4.1684999999999999</v>
      </c>
      <c r="R91" s="511">
        <f t="shared" si="84"/>
        <v>2.8454999999999999</v>
      </c>
      <c r="S91" s="511">
        <f t="shared" si="84"/>
        <v>2.7650000000000001</v>
      </c>
      <c r="T91" s="511">
        <f t="shared" si="84"/>
        <v>2.1538999999999997</v>
      </c>
      <c r="U91" s="511">
        <f t="shared" si="84"/>
        <v>0.84839999999999993</v>
      </c>
      <c r="V91" s="511">
        <f t="shared" si="84"/>
        <v>0</v>
      </c>
      <c r="W91" s="511">
        <f t="shared" si="84"/>
        <v>0</v>
      </c>
      <c r="X91" s="511">
        <f t="shared" si="84"/>
        <v>0</v>
      </c>
      <c r="Y91" s="511">
        <f t="shared" si="84"/>
        <v>0</v>
      </c>
      <c r="Z91" s="511">
        <f t="shared" si="84"/>
        <v>0</v>
      </c>
      <c r="AA91" s="511">
        <f t="shared" si="84"/>
        <v>0</v>
      </c>
      <c r="AB91" s="511">
        <f t="shared" si="84"/>
        <v>0</v>
      </c>
      <c r="AC91" s="511">
        <f t="shared" si="84"/>
        <v>0</v>
      </c>
      <c r="AD91" s="511">
        <f t="shared" si="84"/>
        <v>0</v>
      </c>
      <c r="AE91" s="511">
        <f t="shared" si="84"/>
        <v>0</v>
      </c>
      <c r="AF91" s="502"/>
      <c r="AG91" s="969"/>
      <c r="AH91" s="519">
        <v>0</v>
      </c>
      <c r="AI91" s="520">
        <v>0</v>
      </c>
      <c r="AJ91" s="521">
        <v>0</v>
      </c>
      <c r="AK91" s="521">
        <v>0</v>
      </c>
      <c r="AL91" s="521">
        <v>0</v>
      </c>
      <c r="AM91" s="367">
        <f t="shared" si="78"/>
        <v>0</v>
      </c>
      <c r="AN91" s="367">
        <f t="shared" si="79"/>
        <v>0</v>
      </c>
      <c r="AO91" s="522">
        <f t="shared" si="80"/>
        <v>0</v>
      </c>
      <c r="AP91" s="522">
        <f t="shared" si="81"/>
        <v>0</v>
      </c>
      <c r="AS91" s="632" t="s">
        <v>672</v>
      </c>
      <c r="AT91" s="633" t="s">
        <v>664</v>
      </c>
    </row>
    <row r="92" spans="1:46" hidden="1">
      <c r="A92" s="802" t="s">
        <v>683</v>
      </c>
      <c r="B92" s="494">
        <v>16</v>
      </c>
      <c r="C92" s="497">
        <v>0</v>
      </c>
      <c r="D92" s="486">
        <f>AF92</f>
        <v>19.5</v>
      </c>
      <c r="E92" s="488"/>
      <c r="F92" s="488"/>
      <c r="G92" s="488"/>
      <c r="H92" s="488">
        <f>(D92/6)*(0.04*B92)</f>
        <v>2.08</v>
      </c>
      <c r="I92" s="488">
        <f>C92*(D92+F92+H92)</f>
        <v>0</v>
      </c>
      <c r="J92" s="488">
        <f t="shared" si="82"/>
        <v>1.5802469135802468</v>
      </c>
      <c r="K92" s="489">
        <f t="shared" si="83"/>
        <v>0</v>
      </c>
      <c r="L92" s="54" t="s">
        <v>695</v>
      </c>
      <c r="M92" s="55">
        <v>1</v>
      </c>
      <c r="N92" s="505" t="s">
        <v>675</v>
      </c>
      <c r="O92" s="510">
        <v>2.5</v>
      </c>
      <c r="P92" s="510">
        <v>3</v>
      </c>
      <c r="Q92" s="510">
        <v>4.5</v>
      </c>
      <c r="R92" s="510">
        <v>3</v>
      </c>
      <c r="S92" s="510">
        <v>3</v>
      </c>
      <c r="T92" s="510">
        <v>2.5</v>
      </c>
      <c r="U92" s="510">
        <v>1</v>
      </c>
      <c r="V92" s="510">
        <v>0</v>
      </c>
      <c r="W92" s="510">
        <v>0</v>
      </c>
      <c r="X92" s="510">
        <v>0</v>
      </c>
      <c r="Y92" s="510">
        <v>0</v>
      </c>
      <c r="Z92" s="510">
        <v>0</v>
      </c>
      <c r="AA92" s="510">
        <v>0</v>
      </c>
      <c r="AB92" s="510">
        <v>0</v>
      </c>
      <c r="AC92" s="510">
        <v>0</v>
      </c>
      <c r="AD92" s="510">
        <v>0</v>
      </c>
      <c r="AE92" s="510">
        <v>0</v>
      </c>
      <c r="AF92" s="502">
        <f>SUM(O92:AE92)</f>
        <v>19.5</v>
      </c>
      <c r="AG92" s="969"/>
      <c r="AH92" s="519">
        <v>0</v>
      </c>
      <c r="AI92" s="520">
        <v>0</v>
      </c>
      <c r="AJ92" s="521">
        <v>0</v>
      </c>
      <c r="AK92" s="521">
        <v>0</v>
      </c>
      <c r="AL92" s="521">
        <v>0</v>
      </c>
      <c r="AM92" s="367">
        <f t="shared" si="78"/>
        <v>0</v>
      </c>
      <c r="AN92" s="367">
        <f t="shared" si="79"/>
        <v>0</v>
      </c>
      <c r="AO92" s="522">
        <f t="shared" si="80"/>
        <v>0</v>
      </c>
      <c r="AP92" s="522">
        <f t="shared" si="81"/>
        <v>0</v>
      </c>
      <c r="AS92" s="632" t="s">
        <v>676</v>
      </c>
      <c r="AT92" s="633" t="s">
        <v>664</v>
      </c>
    </row>
    <row r="93" spans="1:46" hidden="1">
      <c r="A93" s="802" t="s">
        <v>677</v>
      </c>
      <c r="B93" s="494">
        <v>16</v>
      </c>
      <c r="C93" s="498">
        <v>0</v>
      </c>
      <c r="D93" s="486">
        <f>AF94</f>
        <v>10.7</v>
      </c>
      <c r="E93" s="488">
        <v>10</v>
      </c>
      <c r="F93" s="488">
        <f>((10*B93)*E89*C93)/1000</f>
        <v>0</v>
      </c>
      <c r="G93" s="488"/>
      <c r="H93" s="488">
        <f>(D93/6)*(0.04*B93)</f>
        <v>1.1413333333333333</v>
      </c>
      <c r="I93" s="488">
        <f>C93*(D93+F93+H93)</f>
        <v>0</v>
      </c>
      <c r="J93" s="488">
        <f t="shared" si="82"/>
        <v>1.5802469135802468</v>
      </c>
      <c r="K93" s="489">
        <f t="shared" si="83"/>
        <v>0</v>
      </c>
      <c r="L93" s="54" t="s">
        <v>696</v>
      </c>
      <c r="M93" s="55">
        <v>0.15</v>
      </c>
      <c r="N93" s="505" t="s">
        <v>679</v>
      </c>
      <c r="O93" s="511">
        <f t="shared" ref="O93:AE93" si="85">O89*0.35</f>
        <v>1.0289999999999999</v>
      </c>
      <c r="P93" s="511">
        <f t="shared" si="85"/>
        <v>1.351</v>
      </c>
      <c r="Q93" s="511">
        <f t="shared" si="85"/>
        <v>2.0842499999999999</v>
      </c>
      <c r="R93" s="511">
        <f t="shared" si="85"/>
        <v>1.42275</v>
      </c>
      <c r="S93" s="511">
        <f t="shared" si="85"/>
        <v>1.3825000000000001</v>
      </c>
      <c r="T93" s="511">
        <f t="shared" si="85"/>
        <v>1.0769499999999999</v>
      </c>
      <c r="U93" s="511">
        <f t="shared" si="85"/>
        <v>0.42419999999999997</v>
      </c>
      <c r="V93" s="511">
        <f t="shared" si="85"/>
        <v>0</v>
      </c>
      <c r="W93" s="511">
        <f t="shared" si="85"/>
        <v>0</v>
      </c>
      <c r="X93" s="511">
        <f t="shared" si="85"/>
        <v>0</v>
      </c>
      <c r="Y93" s="511">
        <f t="shared" si="85"/>
        <v>0</v>
      </c>
      <c r="Z93" s="511">
        <f t="shared" si="85"/>
        <v>0</v>
      </c>
      <c r="AA93" s="511">
        <f t="shared" si="85"/>
        <v>0</v>
      </c>
      <c r="AB93" s="511">
        <f t="shared" si="85"/>
        <v>0</v>
      </c>
      <c r="AC93" s="511">
        <f t="shared" si="85"/>
        <v>0</v>
      </c>
      <c r="AD93" s="511">
        <f t="shared" si="85"/>
        <v>0</v>
      </c>
      <c r="AE93" s="511">
        <f t="shared" si="85"/>
        <v>0</v>
      </c>
      <c r="AF93" s="502"/>
      <c r="AG93" s="969"/>
      <c r="AH93" s="519">
        <v>0</v>
      </c>
      <c r="AI93" s="520">
        <v>0</v>
      </c>
      <c r="AJ93" s="521">
        <v>0</v>
      </c>
      <c r="AK93" s="521">
        <v>0</v>
      </c>
      <c r="AL93" s="521">
        <v>0</v>
      </c>
      <c r="AM93" s="367">
        <f t="shared" si="78"/>
        <v>0</v>
      </c>
      <c r="AN93" s="367">
        <f t="shared" si="79"/>
        <v>0</v>
      </c>
      <c r="AO93" s="522">
        <f t="shared" si="80"/>
        <v>0</v>
      </c>
      <c r="AP93" s="522">
        <f t="shared" si="81"/>
        <v>0</v>
      </c>
      <c r="AS93" s="632" t="s">
        <v>680</v>
      </c>
      <c r="AT93" s="633" t="s">
        <v>664</v>
      </c>
    </row>
    <row r="94" spans="1:46" hidden="1">
      <c r="A94" s="803">
        <f>M93</f>
        <v>0.15</v>
      </c>
      <c r="B94" s="494">
        <v>6</v>
      </c>
      <c r="C94" s="488">
        <f>(D93/A94)*I89</f>
        <v>142.66666666666666</v>
      </c>
      <c r="D94" s="486">
        <f>M95</f>
        <v>0.88</v>
      </c>
      <c r="E94" s="488"/>
      <c r="F94" s="488"/>
      <c r="G94" s="488"/>
      <c r="H94" s="488"/>
      <c r="I94" s="488">
        <f>D94*C94</f>
        <v>125.54666666666665</v>
      </c>
      <c r="J94" s="488">
        <f t="shared" si="82"/>
        <v>0.22222222222222221</v>
      </c>
      <c r="K94" s="489">
        <f t="shared" si="83"/>
        <v>2.7899259259259252E-2</v>
      </c>
      <c r="L94" s="54" t="s">
        <v>697</v>
      </c>
      <c r="M94" s="55">
        <v>0.15</v>
      </c>
      <c r="N94" s="506" t="s">
        <v>681</v>
      </c>
      <c r="O94" s="510">
        <v>1.2</v>
      </c>
      <c r="P94" s="510">
        <v>1.5</v>
      </c>
      <c r="Q94" s="510">
        <v>2.5</v>
      </c>
      <c r="R94" s="510">
        <v>1.5</v>
      </c>
      <c r="S94" s="510">
        <v>1.5</v>
      </c>
      <c r="T94" s="510">
        <v>1.5</v>
      </c>
      <c r="U94" s="510">
        <v>1</v>
      </c>
      <c r="V94" s="510">
        <v>0</v>
      </c>
      <c r="W94" s="510">
        <v>0</v>
      </c>
      <c r="X94" s="510">
        <v>0</v>
      </c>
      <c r="Y94" s="510">
        <v>0</v>
      </c>
      <c r="Z94" s="510">
        <v>0</v>
      </c>
      <c r="AA94" s="510">
        <v>0</v>
      </c>
      <c r="AB94" s="510">
        <v>0</v>
      </c>
      <c r="AC94" s="510">
        <v>0</v>
      </c>
      <c r="AD94" s="510">
        <v>0</v>
      </c>
      <c r="AE94" s="510">
        <v>0</v>
      </c>
      <c r="AF94" s="502">
        <f>SUM(O94:AE94)</f>
        <v>10.7</v>
      </c>
      <c r="AG94" s="969"/>
      <c r="AH94" s="519">
        <v>0</v>
      </c>
      <c r="AI94" s="520">
        <v>0</v>
      </c>
      <c r="AJ94" s="521">
        <v>0</v>
      </c>
      <c r="AK94" s="521">
        <v>0</v>
      </c>
      <c r="AL94" s="521">
        <v>0</v>
      </c>
      <c r="AM94" s="367">
        <f t="shared" si="78"/>
        <v>0</v>
      </c>
      <c r="AN94" s="367">
        <f t="shared" si="79"/>
        <v>0</v>
      </c>
      <c r="AO94" s="522">
        <f t="shared" si="80"/>
        <v>0</v>
      </c>
      <c r="AP94" s="522">
        <f t="shared" si="81"/>
        <v>0</v>
      </c>
      <c r="AS94" s="632" t="s">
        <v>682</v>
      </c>
      <c r="AT94" s="633" t="s">
        <v>664</v>
      </c>
    </row>
    <row r="95" spans="1:46" hidden="1">
      <c r="A95" s="490">
        <f>M94</f>
        <v>0.15</v>
      </c>
      <c r="B95" s="495">
        <v>6</v>
      </c>
      <c r="C95" s="491">
        <f>((B89-D93)/A95)*J89</f>
        <v>95.726666666666688</v>
      </c>
      <c r="D95" s="487">
        <f>M95</f>
        <v>0.88</v>
      </c>
      <c r="E95" s="491"/>
      <c r="F95" s="491"/>
      <c r="G95" s="491"/>
      <c r="H95" s="491"/>
      <c r="I95" s="491">
        <f>D95*C95</f>
        <v>84.239466666666686</v>
      </c>
      <c r="J95" s="491">
        <f t="shared" si="82"/>
        <v>0.22222222222222221</v>
      </c>
      <c r="K95" s="492">
        <f t="shared" si="83"/>
        <v>1.8719881481481484E-2</v>
      </c>
      <c r="L95" s="337" t="s">
        <v>698</v>
      </c>
      <c r="M95" s="338">
        <f>AP89</f>
        <v>0.88</v>
      </c>
      <c r="N95" s="507"/>
      <c r="O95" s="508"/>
      <c r="P95" s="508"/>
      <c r="Q95" s="508"/>
      <c r="R95" s="508"/>
      <c r="S95" s="508"/>
      <c r="T95" s="508"/>
      <c r="U95" s="508"/>
      <c r="V95" s="508"/>
      <c r="W95" s="508"/>
      <c r="X95" s="508"/>
      <c r="Y95" s="508"/>
      <c r="Z95" s="508"/>
      <c r="AA95" s="508"/>
      <c r="AB95" s="508"/>
      <c r="AC95" s="508"/>
      <c r="AD95" s="508"/>
      <c r="AE95" s="508"/>
      <c r="AF95" s="509"/>
      <c r="AG95" s="969"/>
      <c r="AH95" s="519">
        <v>0</v>
      </c>
      <c r="AI95" s="520">
        <v>0</v>
      </c>
      <c r="AJ95" s="521">
        <v>0</v>
      </c>
      <c r="AK95" s="521">
        <v>0</v>
      </c>
      <c r="AL95" s="521">
        <v>0</v>
      </c>
      <c r="AM95" s="367">
        <f t="shared" si="78"/>
        <v>0</v>
      </c>
      <c r="AN95" s="367">
        <f t="shared" si="79"/>
        <v>0</v>
      </c>
      <c r="AO95" s="522">
        <f t="shared" si="80"/>
        <v>0</v>
      </c>
      <c r="AP95" s="522">
        <f t="shared" si="81"/>
        <v>0</v>
      </c>
      <c r="AS95" s="632" t="s">
        <v>699</v>
      </c>
      <c r="AT95" s="633" t="s">
        <v>664</v>
      </c>
    </row>
    <row r="96" spans="1:46" hidden="1">
      <c r="A96" s="512"/>
      <c r="B96" s="513"/>
      <c r="C96" s="513"/>
      <c r="D96" s="514"/>
      <c r="E96" s="513"/>
      <c r="F96" s="513"/>
      <c r="G96" s="513"/>
      <c r="H96" s="513"/>
      <c r="I96" s="513"/>
      <c r="J96" s="513"/>
      <c r="K96" s="513"/>
      <c r="L96" s="515"/>
      <c r="M96" s="516"/>
      <c r="N96" s="515"/>
      <c r="O96" s="515"/>
      <c r="P96" s="515"/>
      <c r="Q96" s="515"/>
      <c r="R96" s="515"/>
      <c r="S96" s="515"/>
      <c r="T96" s="515"/>
      <c r="U96" s="515"/>
      <c r="V96" s="515"/>
      <c r="W96" s="515"/>
      <c r="X96" s="515"/>
      <c r="Y96" s="515"/>
      <c r="Z96" s="515"/>
      <c r="AA96" s="515"/>
      <c r="AB96" s="515"/>
      <c r="AC96" s="515"/>
      <c r="AD96" s="515"/>
      <c r="AE96" s="515"/>
      <c r="AF96" s="517"/>
      <c r="AG96" s="970"/>
      <c r="AH96" s="543">
        <v>0</v>
      </c>
      <c r="AI96" s="523">
        <v>0</v>
      </c>
      <c r="AJ96" s="524">
        <v>0</v>
      </c>
      <c r="AK96" s="524">
        <v>0</v>
      </c>
      <c r="AL96" s="524">
        <v>0</v>
      </c>
      <c r="AM96" s="525">
        <f t="shared" si="78"/>
        <v>0</v>
      </c>
      <c r="AN96" s="525">
        <f t="shared" si="79"/>
        <v>0</v>
      </c>
      <c r="AO96" s="526">
        <f t="shared" si="80"/>
        <v>0</v>
      </c>
      <c r="AP96" s="526">
        <f t="shared" si="81"/>
        <v>0</v>
      </c>
      <c r="AS96" s="499"/>
      <c r="AT96" s="500"/>
    </row>
    <row r="97" spans="1:46" hidden="1">
      <c r="A97" s="794"/>
      <c r="B97" s="795"/>
      <c r="C97" s="795"/>
      <c r="D97" s="796"/>
      <c r="E97" s="795"/>
      <c r="F97" s="795"/>
      <c r="G97" s="795"/>
      <c r="H97" s="795"/>
      <c r="I97" s="501" t="s">
        <v>689</v>
      </c>
      <c r="J97" s="501" t="s">
        <v>690</v>
      </c>
      <c r="K97" s="797"/>
      <c r="L97" s="527"/>
      <c r="M97" s="528"/>
      <c r="N97" s="529" t="s">
        <v>691</v>
      </c>
      <c r="O97" s="530"/>
      <c r="P97" s="531"/>
      <c r="Q97" s="531"/>
      <c r="R97" s="531"/>
      <c r="S97" s="531"/>
      <c r="T97" s="531"/>
      <c r="U97" s="531"/>
      <c r="V97" s="531"/>
      <c r="W97" s="531"/>
      <c r="X97" s="531"/>
      <c r="Y97" s="531"/>
      <c r="Z97" s="531"/>
      <c r="AA97" s="531"/>
      <c r="AB97" s="531"/>
      <c r="AC97" s="531"/>
      <c r="AD97" s="531"/>
      <c r="AE97" s="531"/>
      <c r="AF97" s="532"/>
      <c r="AG97" s="533"/>
      <c r="AH97" s="534"/>
      <c r="AI97" s="535"/>
      <c r="AJ97" s="536"/>
      <c r="AK97" s="536"/>
      <c r="AL97" s="536"/>
      <c r="AM97" s="536"/>
      <c r="AN97" s="536"/>
      <c r="AO97" s="536"/>
      <c r="AP97" s="537"/>
      <c r="AS97" s="632" t="s">
        <v>663</v>
      </c>
      <c r="AT97" s="633" t="s">
        <v>664</v>
      </c>
    </row>
    <row r="98" spans="1:46" ht="11.25" hidden="1" customHeight="1">
      <c r="A98" s="798" t="str">
        <f>N98</f>
        <v>B5</v>
      </c>
      <c r="B98" s="501">
        <f>AF98</f>
        <v>22.038</v>
      </c>
      <c r="C98" s="799" t="s">
        <v>422</v>
      </c>
      <c r="D98" s="800" t="s">
        <v>665</v>
      </c>
      <c r="E98" s="501">
        <f>AF99</f>
        <v>2</v>
      </c>
      <c r="F98" s="798">
        <f>M98</f>
        <v>200</v>
      </c>
      <c r="G98" s="501" t="s">
        <v>666</v>
      </c>
      <c r="H98" s="801">
        <f>M99</f>
        <v>430</v>
      </c>
      <c r="I98" s="501">
        <f>M100</f>
        <v>2</v>
      </c>
      <c r="J98" s="501">
        <f>M101</f>
        <v>1</v>
      </c>
      <c r="K98" s="799"/>
      <c r="L98" s="54" t="s">
        <v>384</v>
      </c>
      <c r="M98" s="55">
        <v>200</v>
      </c>
      <c r="N98" s="504" t="s">
        <v>703</v>
      </c>
      <c r="O98" s="503">
        <v>6.0380000000000003</v>
      </c>
      <c r="P98" s="503">
        <v>5.8449999999999998</v>
      </c>
      <c r="Q98" s="503">
        <v>5.9450000000000003</v>
      </c>
      <c r="R98" s="503">
        <v>4.21</v>
      </c>
      <c r="S98" s="503">
        <v>0</v>
      </c>
      <c r="T98" s="503">
        <v>0</v>
      </c>
      <c r="U98" s="503">
        <v>0</v>
      </c>
      <c r="V98" s="503">
        <v>0</v>
      </c>
      <c r="W98" s="503">
        <v>0</v>
      </c>
      <c r="X98" s="503">
        <v>0</v>
      </c>
      <c r="Y98" s="503">
        <v>0</v>
      </c>
      <c r="Z98" s="503">
        <v>0</v>
      </c>
      <c r="AA98" s="503">
        <v>0</v>
      </c>
      <c r="AB98" s="503">
        <v>0</v>
      </c>
      <c r="AC98" s="503">
        <v>0</v>
      </c>
      <c r="AD98" s="503">
        <v>0</v>
      </c>
      <c r="AE98" s="503">
        <v>0</v>
      </c>
      <c r="AF98" s="502">
        <f>SUM(O98:AE98)</f>
        <v>22.038</v>
      </c>
      <c r="AG98" s="968" t="s">
        <v>693</v>
      </c>
      <c r="AH98" s="538" t="s">
        <v>692</v>
      </c>
      <c r="AI98" s="539">
        <v>6</v>
      </c>
      <c r="AJ98" s="540">
        <v>200</v>
      </c>
      <c r="AK98" s="540">
        <v>350</v>
      </c>
      <c r="AL98" s="540">
        <v>35</v>
      </c>
      <c r="AM98" s="541">
        <f t="shared" ref="AM98:AM105" si="86">AJ98-(2*AL98)</f>
        <v>130</v>
      </c>
      <c r="AN98" s="541">
        <f t="shared" ref="AN98:AN105" si="87">AK98-(2*AL98)</f>
        <v>280</v>
      </c>
      <c r="AO98" s="542">
        <f t="shared" ref="AO98:AO105" si="88">2*(AM98+AN98)+(2*10*AI98)-(5*2*AI98)</f>
        <v>880</v>
      </c>
      <c r="AP98" s="542">
        <f t="shared" ref="AP98:AP105" si="89">AO98/1000</f>
        <v>0.88</v>
      </c>
      <c r="AS98" s="632" t="s">
        <v>667</v>
      </c>
      <c r="AT98" s="633" t="s">
        <v>664</v>
      </c>
    </row>
    <row r="99" spans="1:46" hidden="1">
      <c r="A99" s="802" t="s">
        <v>668</v>
      </c>
      <c r="B99" s="493">
        <v>16</v>
      </c>
      <c r="C99" s="496">
        <v>2</v>
      </c>
      <c r="D99" s="486">
        <f>B98</f>
        <v>22.038</v>
      </c>
      <c r="E99" s="488">
        <v>10</v>
      </c>
      <c r="F99" s="488">
        <f>((10*B99)*E98*C99)/1000</f>
        <v>0.64</v>
      </c>
      <c r="G99" s="488"/>
      <c r="H99" s="488">
        <f>(D99/6)*(0.04*B99)</f>
        <v>2.3507199999999999</v>
      </c>
      <c r="I99" s="488">
        <f>C99*(D99+F99+H99)</f>
        <v>50.05744</v>
      </c>
      <c r="J99" s="488">
        <f t="shared" ref="J99:J104" si="90">B99*B99/162</f>
        <v>1.5802469135802468</v>
      </c>
      <c r="K99" s="489">
        <f t="shared" ref="K99:K104" si="91">(I99*J99)/1000</f>
        <v>7.9103115061728388E-2</v>
      </c>
      <c r="L99" s="54" t="s">
        <v>385</v>
      </c>
      <c r="M99" s="55">
        <v>430</v>
      </c>
      <c r="N99" s="505" t="s">
        <v>667</v>
      </c>
      <c r="O99" s="503">
        <v>1</v>
      </c>
      <c r="P99" s="503">
        <v>1</v>
      </c>
      <c r="Q99" s="503">
        <v>0</v>
      </c>
      <c r="R99" s="503">
        <v>0</v>
      </c>
      <c r="S99" s="503">
        <v>0</v>
      </c>
      <c r="T99" s="503">
        <v>0</v>
      </c>
      <c r="U99" s="503">
        <v>0</v>
      </c>
      <c r="V99" s="503">
        <v>0</v>
      </c>
      <c r="W99" s="503">
        <v>0</v>
      </c>
      <c r="X99" s="503">
        <v>0</v>
      </c>
      <c r="Y99" s="503">
        <v>0</v>
      </c>
      <c r="Z99" s="503">
        <v>0</v>
      </c>
      <c r="AA99" s="503">
        <v>0</v>
      </c>
      <c r="AB99" s="503">
        <v>0</v>
      </c>
      <c r="AC99" s="503">
        <v>0</v>
      </c>
      <c r="AD99" s="503">
        <v>0</v>
      </c>
      <c r="AE99" s="503">
        <v>0</v>
      </c>
      <c r="AF99" s="502">
        <f>SUM(O99:AE99)</f>
        <v>2</v>
      </c>
      <c r="AG99" s="969"/>
      <c r="AH99" s="519">
        <v>0</v>
      </c>
      <c r="AI99" s="520">
        <v>0</v>
      </c>
      <c r="AJ99" s="521">
        <v>0</v>
      </c>
      <c r="AK99" s="521">
        <v>0</v>
      </c>
      <c r="AL99" s="521">
        <v>0</v>
      </c>
      <c r="AM99" s="367">
        <f t="shared" si="86"/>
        <v>0</v>
      </c>
      <c r="AN99" s="367">
        <f t="shared" si="87"/>
        <v>0</v>
      </c>
      <c r="AO99" s="522">
        <f t="shared" si="88"/>
        <v>0</v>
      </c>
      <c r="AP99" s="522">
        <f t="shared" si="89"/>
        <v>0</v>
      </c>
      <c r="AS99" s="632" t="s">
        <v>669</v>
      </c>
      <c r="AT99" s="633" t="s">
        <v>664</v>
      </c>
    </row>
    <row r="100" spans="1:46" hidden="1">
      <c r="A100" s="802"/>
      <c r="B100" s="494">
        <v>16</v>
      </c>
      <c r="C100" s="497">
        <v>2</v>
      </c>
      <c r="D100" s="486">
        <f>B98</f>
        <v>22.038</v>
      </c>
      <c r="E100" s="488">
        <v>10</v>
      </c>
      <c r="F100" s="488">
        <f>((10*B100)*E98*C100)/1000</f>
        <v>0.64</v>
      </c>
      <c r="G100" s="488"/>
      <c r="H100" s="488">
        <f>(D100/6)*(0.04*B100)</f>
        <v>2.3507199999999999</v>
      </c>
      <c r="I100" s="488">
        <f>C100*(D100+F100+H100)</f>
        <v>50.05744</v>
      </c>
      <c r="J100" s="488">
        <f t="shared" si="90"/>
        <v>1.5802469135802468</v>
      </c>
      <c r="K100" s="489">
        <f t="shared" si="91"/>
        <v>7.9103115061728388E-2</v>
      </c>
      <c r="L100" s="54" t="s">
        <v>694</v>
      </c>
      <c r="M100" s="55">
        <v>2</v>
      </c>
      <c r="N100" s="505" t="s">
        <v>671</v>
      </c>
      <c r="O100" s="511">
        <f t="shared" ref="O100:AE100" si="92">O98*0.7</f>
        <v>4.2265999999999995</v>
      </c>
      <c r="P100" s="511">
        <f t="shared" si="92"/>
        <v>4.0914999999999999</v>
      </c>
      <c r="Q100" s="511">
        <f t="shared" si="92"/>
        <v>4.1615000000000002</v>
      </c>
      <c r="R100" s="511">
        <f t="shared" si="92"/>
        <v>2.9469999999999996</v>
      </c>
      <c r="S100" s="511">
        <f t="shared" si="92"/>
        <v>0</v>
      </c>
      <c r="T100" s="511">
        <f t="shared" si="92"/>
        <v>0</v>
      </c>
      <c r="U100" s="511">
        <f t="shared" si="92"/>
        <v>0</v>
      </c>
      <c r="V100" s="511">
        <f t="shared" si="92"/>
        <v>0</v>
      </c>
      <c r="W100" s="511">
        <f t="shared" si="92"/>
        <v>0</v>
      </c>
      <c r="X100" s="511">
        <f t="shared" si="92"/>
        <v>0</v>
      </c>
      <c r="Y100" s="511">
        <f t="shared" si="92"/>
        <v>0</v>
      </c>
      <c r="Z100" s="511">
        <f t="shared" si="92"/>
        <v>0</v>
      </c>
      <c r="AA100" s="511">
        <f t="shared" si="92"/>
        <v>0</v>
      </c>
      <c r="AB100" s="511">
        <f t="shared" si="92"/>
        <v>0</v>
      </c>
      <c r="AC100" s="511">
        <f t="shared" si="92"/>
        <v>0</v>
      </c>
      <c r="AD100" s="511">
        <f t="shared" si="92"/>
        <v>0</v>
      </c>
      <c r="AE100" s="511">
        <f t="shared" si="92"/>
        <v>0</v>
      </c>
      <c r="AF100" s="502"/>
      <c r="AG100" s="969"/>
      <c r="AH100" s="519">
        <v>0</v>
      </c>
      <c r="AI100" s="520">
        <v>0</v>
      </c>
      <c r="AJ100" s="521">
        <v>0</v>
      </c>
      <c r="AK100" s="521">
        <v>0</v>
      </c>
      <c r="AL100" s="521">
        <v>0</v>
      </c>
      <c r="AM100" s="367">
        <f t="shared" si="86"/>
        <v>0</v>
      </c>
      <c r="AN100" s="367">
        <f t="shared" si="87"/>
        <v>0</v>
      </c>
      <c r="AO100" s="522">
        <f t="shared" si="88"/>
        <v>0</v>
      </c>
      <c r="AP100" s="522">
        <f t="shared" si="89"/>
        <v>0</v>
      </c>
      <c r="AS100" s="632" t="s">
        <v>672</v>
      </c>
      <c r="AT100" s="633" t="s">
        <v>664</v>
      </c>
    </row>
    <row r="101" spans="1:46" hidden="1">
      <c r="A101" s="802" t="s">
        <v>683</v>
      </c>
      <c r="B101" s="494">
        <v>16</v>
      </c>
      <c r="C101" s="497">
        <v>1</v>
      </c>
      <c r="D101" s="486">
        <f>AF101</f>
        <v>16.5</v>
      </c>
      <c r="E101" s="488"/>
      <c r="F101" s="488"/>
      <c r="G101" s="488"/>
      <c r="H101" s="488">
        <f>(D101/6)*(0.04*B101)</f>
        <v>1.76</v>
      </c>
      <c r="I101" s="488">
        <f>C101*(D101+F101+H101)</f>
        <v>18.260000000000002</v>
      </c>
      <c r="J101" s="488">
        <f t="shared" si="90"/>
        <v>1.5802469135802468</v>
      </c>
      <c r="K101" s="489">
        <f t="shared" si="91"/>
        <v>2.8855308641975309E-2</v>
      </c>
      <c r="L101" s="54" t="s">
        <v>695</v>
      </c>
      <c r="M101" s="55">
        <v>1</v>
      </c>
      <c r="N101" s="505" t="s">
        <v>675</v>
      </c>
      <c r="O101" s="510">
        <v>4.5</v>
      </c>
      <c r="P101" s="510">
        <v>4.5</v>
      </c>
      <c r="Q101" s="510">
        <v>4.5</v>
      </c>
      <c r="R101" s="510">
        <v>3</v>
      </c>
      <c r="S101" s="510">
        <v>0</v>
      </c>
      <c r="T101" s="510">
        <v>0</v>
      </c>
      <c r="U101" s="510">
        <v>0</v>
      </c>
      <c r="V101" s="510">
        <v>0</v>
      </c>
      <c r="W101" s="510">
        <v>0</v>
      </c>
      <c r="X101" s="510">
        <v>0</v>
      </c>
      <c r="Y101" s="510">
        <v>0</v>
      </c>
      <c r="Z101" s="510">
        <v>0</v>
      </c>
      <c r="AA101" s="510">
        <v>0</v>
      </c>
      <c r="AB101" s="510">
        <v>0</v>
      </c>
      <c r="AC101" s="510">
        <v>0</v>
      </c>
      <c r="AD101" s="510">
        <v>0</v>
      </c>
      <c r="AE101" s="510">
        <v>0</v>
      </c>
      <c r="AF101" s="502">
        <f>SUM(O101:AE101)</f>
        <v>16.5</v>
      </c>
      <c r="AG101" s="969"/>
      <c r="AH101" s="519">
        <v>0</v>
      </c>
      <c r="AI101" s="520">
        <v>0</v>
      </c>
      <c r="AJ101" s="521">
        <v>0</v>
      </c>
      <c r="AK101" s="521">
        <v>0</v>
      </c>
      <c r="AL101" s="521">
        <v>0</v>
      </c>
      <c r="AM101" s="367">
        <f t="shared" si="86"/>
        <v>0</v>
      </c>
      <c r="AN101" s="367">
        <f t="shared" si="87"/>
        <v>0</v>
      </c>
      <c r="AO101" s="522">
        <f t="shared" si="88"/>
        <v>0</v>
      </c>
      <c r="AP101" s="522">
        <f t="shared" si="89"/>
        <v>0</v>
      </c>
      <c r="AS101" s="632" t="s">
        <v>676</v>
      </c>
      <c r="AT101" s="633" t="s">
        <v>664</v>
      </c>
    </row>
    <row r="102" spans="1:46" hidden="1">
      <c r="A102" s="802" t="s">
        <v>677</v>
      </c>
      <c r="B102" s="494">
        <v>16</v>
      </c>
      <c r="C102" s="498">
        <v>1</v>
      </c>
      <c r="D102" s="486">
        <f>AF103</f>
        <v>8.5</v>
      </c>
      <c r="E102" s="488">
        <v>10</v>
      </c>
      <c r="F102" s="488">
        <f>((10*B102)*E98*C102)/1000</f>
        <v>0.32</v>
      </c>
      <c r="G102" s="488"/>
      <c r="H102" s="488">
        <f>(D102/6)*(0.04*B102)</f>
        <v>0.90666666666666673</v>
      </c>
      <c r="I102" s="488">
        <f>C102*(D102+F102+H102)</f>
        <v>9.7266666666666666</v>
      </c>
      <c r="J102" s="488">
        <f t="shared" si="90"/>
        <v>1.5802469135802468</v>
      </c>
      <c r="K102" s="489">
        <f t="shared" si="91"/>
        <v>1.5370534979423868E-2</v>
      </c>
      <c r="L102" s="54" t="s">
        <v>696</v>
      </c>
      <c r="M102" s="55">
        <v>0.15</v>
      </c>
      <c r="N102" s="505" t="s">
        <v>679</v>
      </c>
      <c r="O102" s="511">
        <f t="shared" ref="O102:AE102" si="93">O98*0.35</f>
        <v>2.1132999999999997</v>
      </c>
      <c r="P102" s="511">
        <f t="shared" si="93"/>
        <v>2.04575</v>
      </c>
      <c r="Q102" s="511">
        <f t="shared" si="93"/>
        <v>2.0807500000000001</v>
      </c>
      <c r="R102" s="511">
        <f t="shared" si="93"/>
        <v>1.4734999999999998</v>
      </c>
      <c r="S102" s="511">
        <f t="shared" si="93"/>
        <v>0</v>
      </c>
      <c r="T102" s="511">
        <f t="shared" si="93"/>
        <v>0</v>
      </c>
      <c r="U102" s="511">
        <f t="shared" si="93"/>
        <v>0</v>
      </c>
      <c r="V102" s="511">
        <f t="shared" si="93"/>
        <v>0</v>
      </c>
      <c r="W102" s="511">
        <f t="shared" si="93"/>
        <v>0</v>
      </c>
      <c r="X102" s="511">
        <f t="shared" si="93"/>
        <v>0</v>
      </c>
      <c r="Y102" s="511">
        <f t="shared" si="93"/>
        <v>0</v>
      </c>
      <c r="Z102" s="511">
        <f t="shared" si="93"/>
        <v>0</v>
      </c>
      <c r="AA102" s="511">
        <f t="shared" si="93"/>
        <v>0</v>
      </c>
      <c r="AB102" s="511">
        <f t="shared" si="93"/>
        <v>0</v>
      </c>
      <c r="AC102" s="511">
        <f t="shared" si="93"/>
        <v>0</v>
      </c>
      <c r="AD102" s="511">
        <f t="shared" si="93"/>
        <v>0</v>
      </c>
      <c r="AE102" s="511">
        <f t="shared" si="93"/>
        <v>0</v>
      </c>
      <c r="AF102" s="502"/>
      <c r="AG102" s="969"/>
      <c r="AH102" s="519">
        <v>0</v>
      </c>
      <c r="AI102" s="520">
        <v>0</v>
      </c>
      <c r="AJ102" s="521">
        <v>0</v>
      </c>
      <c r="AK102" s="521">
        <v>0</v>
      </c>
      <c r="AL102" s="521">
        <v>0</v>
      </c>
      <c r="AM102" s="367">
        <f t="shared" si="86"/>
        <v>0</v>
      </c>
      <c r="AN102" s="367">
        <f t="shared" si="87"/>
        <v>0</v>
      </c>
      <c r="AO102" s="522">
        <f t="shared" si="88"/>
        <v>0</v>
      </c>
      <c r="AP102" s="522">
        <f t="shared" si="89"/>
        <v>0</v>
      </c>
      <c r="AS102" s="632" t="s">
        <v>680</v>
      </c>
      <c r="AT102" s="633" t="s">
        <v>664</v>
      </c>
    </row>
    <row r="103" spans="1:46" hidden="1">
      <c r="A103" s="803">
        <f>M102</f>
        <v>0.15</v>
      </c>
      <c r="B103" s="494">
        <v>6</v>
      </c>
      <c r="C103" s="488">
        <f>(D102/A103)*I98</f>
        <v>113.33333333333334</v>
      </c>
      <c r="D103" s="486">
        <f>M104</f>
        <v>0.88</v>
      </c>
      <c r="E103" s="488"/>
      <c r="F103" s="488"/>
      <c r="G103" s="488"/>
      <c r="H103" s="488"/>
      <c r="I103" s="488">
        <f>D103*C103</f>
        <v>99.733333333333348</v>
      </c>
      <c r="J103" s="488">
        <f t="shared" si="90"/>
        <v>0.22222222222222221</v>
      </c>
      <c r="K103" s="489">
        <f t="shared" si="91"/>
        <v>2.2162962962962964E-2</v>
      </c>
      <c r="L103" s="54" t="s">
        <v>697</v>
      </c>
      <c r="M103" s="55">
        <v>0.15</v>
      </c>
      <c r="N103" s="506" t="s">
        <v>681</v>
      </c>
      <c r="O103" s="510">
        <v>2.5</v>
      </c>
      <c r="P103" s="510">
        <v>2</v>
      </c>
      <c r="Q103" s="510">
        <v>2.5</v>
      </c>
      <c r="R103" s="510">
        <v>1.5</v>
      </c>
      <c r="S103" s="510">
        <v>0</v>
      </c>
      <c r="T103" s="510">
        <v>0</v>
      </c>
      <c r="U103" s="510">
        <v>0</v>
      </c>
      <c r="V103" s="510">
        <v>0</v>
      </c>
      <c r="W103" s="510">
        <v>0</v>
      </c>
      <c r="X103" s="510">
        <v>0</v>
      </c>
      <c r="Y103" s="510">
        <v>0</v>
      </c>
      <c r="Z103" s="510">
        <v>0</v>
      </c>
      <c r="AA103" s="510">
        <v>0</v>
      </c>
      <c r="AB103" s="510">
        <v>0</v>
      </c>
      <c r="AC103" s="510">
        <v>0</v>
      </c>
      <c r="AD103" s="510">
        <v>0</v>
      </c>
      <c r="AE103" s="510">
        <v>0</v>
      </c>
      <c r="AF103" s="502">
        <f>SUM(O103:AE103)</f>
        <v>8.5</v>
      </c>
      <c r="AG103" s="969"/>
      <c r="AH103" s="519">
        <v>0</v>
      </c>
      <c r="AI103" s="520">
        <v>0</v>
      </c>
      <c r="AJ103" s="521">
        <v>0</v>
      </c>
      <c r="AK103" s="521">
        <v>0</v>
      </c>
      <c r="AL103" s="521">
        <v>0</v>
      </c>
      <c r="AM103" s="367">
        <f t="shared" si="86"/>
        <v>0</v>
      </c>
      <c r="AN103" s="367">
        <f t="shared" si="87"/>
        <v>0</v>
      </c>
      <c r="AO103" s="522">
        <f t="shared" si="88"/>
        <v>0</v>
      </c>
      <c r="AP103" s="522">
        <f t="shared" si="89"/>
        <v>0</v>
      </c>
      <c r="AS103" s="632" t="s">
        <v>682</v>
      </c>
      <c r="AT103" s="633" t="s">
        <v>664</v>
      </c>
    </row>
    <row r="104" spans="1:46" hidden="1">
      <c r="A104" s="490">
        <f>M103</f>
        <v>0.15</v>
      </c>
      <c r="B104" s="495">
        <v>6</v>
      </c>
      <c r="C104" s="491">
        <f>((B98-D102)/A104)*J98</f>
        <v>90.253333333333345</v>
      </c>
      <c r="D104" s="487">
        <f>M104</f>
        <v>0.88</v>
      </c>
      <c r="E104" s="491"/>
      <c r="F104" s="491"/>
      <c r="G104" s="491"/>
      <c r="H104" s="491"/>
      <c r="I104" s="491">
        <f>D104*C104</f>
        <v>79.422933333333347</v>
      </c>
      <c r="J104" s="491">
        <f t="shared" si="90"/>
        <v>0.22222222222222221</v>
      </c>
      <c r="K104" s="492">
        <f t="shared" si="91"/>
        <v>1.7649540740740745E-2</v>
      </c>
      <c r="L104" s="337" t="s">
        <v>698</v>
      </c>
      <c r="M104" s="338">
        <f>AP98</f>
        <v>0.88</v>
      </c>
      <c r="N104" s="507"/>
      <c r="O104" s="508"/>
      <c r="P104" s="508"/>
      <c r="Q104" s="508"/>
      <c r="R104" s="508"/>
      <c r="S104" s="508"/>
      <c r="T104" s="508"/>
      <c r="U104" s="508"/>
      <c r="V104" s="508"/>
      <c r="W104" s="508"/>
      <c r="X104" s="508"/>
      <c r="Y104" s="508"/>
      <c r="Z104" s="508"/>
      <c r="AA104" s="508"/>
      <c r="AB104" s="508"/>
      <c r="AC104" s="508"/>
      <c r="AD104" s="508"/>
      <c r="AE104" s="508"/>
      <c r="AF104" s="509"/>
      <c r="AG104" s="969"/>
      <c r="AH104" s="519">
        <v>0</v>
      </c>
      <c r="AI104" s="520">
        <v>0</v>
      </c>
      <c r="AJ104" s="521">
        <v>0</v>
      </c>
      <c r="AK104" s="521">
        <v>0</v>
      </c>
      <c r="AL104" s="521">
        <v>0</v>
      </c>
      <c r="AM104" s="367">
        <f t="shared" si="86"/>
        <v>0</v>
      </c>
      <c r="AN104" s="367">
        <f t="shared" si="87"/>
        <v>0</v>
      </c>
      <c r="AO104" s="522">
        <f t="shared" si="88"/>
        <v>0</v>
      </c>
      <c r="AP104" s="522">
        <f t="shared" si="89"/>
        <v>0</v>
      </c>
      <c r="AS104" s="632" t="s">
        <v>699</v>
      </c>
      <c r="AT104" s="633" t="s">
        <v>664</v>
      </c>
    </row>
    <row r="105" spans="1:46" hidden="1">
      <c r="A105" s="512"/>
      <c r="B105" s="513"/>
      <c r="C105" s="513"/>
      <c r="D105" s="514"/>
      <c r="E105" s="513"/>
      <c r="F105" s="513"/>
      <c r="G105" s="513"/>
      <c r="H105" s="513"/>
      <c r="I105" s="513"/>
      <c r="J105" s="513"/>
      <c r="K105" s="513"/>
      <c r="L105" s="515"/>
      <c r="M105" s="516"/>
      <c r="N105" s="515"/>
      <c r="O105" s="515"/>
      <c r="P105" s="515"/>
      <c r="Q105" s="515"/>
      <c r="R105" s="515"/>
      <c r="S105" s="515"/>
      <c r="T105" s="515"/>
      <c r="U105" s="515"/>
      <c r="V105" s="515"/>
      <c r="W105" s="515"/>
      <c r="X105" s="515"/>
      <c r="Y105" s="515"/>
      <c r="Z105" s="515"/>
      <c r="AA105" s="515"/>
      <c r="AB105" s="515"/>
      <c r="AC105" s="515"/>
      <c r="AD105" s="515"/>
      <c r="AE105" s="515"/>
      <c r="AF105" s="517"/>
      <c r="AG105" s="970"/>
      <c r="AH105" s="543">
        <v>0</v>
      </c>
      <c r="AI105" s="523">
        <v>0</v>
      </c>
      <c r="AJ105" s="524">
        <v>0</v>
      </c>
      <c r="AK105" s="524">
        <v>0</v>
      </c>
      <c r="AL105" s="524">
        <v>0</v>
      </c>
      <c r="AM105" s="525">
        <f t="shared" si="86"/>
        <v>0</v>
      </c>
      <c r="AN105" s="525">
        <f t="shared" si="87"/>
        <v>0</v>
      </c>
      <c r="AO105" s="526">
        <f t="shared" si="88"/>
        <v>0</v>
      </c>
      <c r="AP105" s="526">
        <f t="shared" si="89"/>
        <v>0</v>
      </c>
      <c r="AS105" s="499"/>
      <c r="AT105" s="500"/>
    </row>
    <row r="106" spans="1:46" hidden="1">
      <c r="A106" s="794"/>
      <c r="B106" s="795"/>
      <c r="C106" s="795"/>
      <c r="D106" s="796"/>
      <c r="E106" s="795"/>
      <c r="F106" s="795"/>
      <c r="G106" s="795"/>
      <c r="H106" s="795"/>
      <c r="I106" s="501" t="s">
        <v>689</v>
      </c>
      <c r="J106" s="501" t="s">
        <v>690</v>
      </c>
      <c r="K106" s="797"/>
      <c r="L106" s="527"/>
      <c r="M106" s="528"/>
      <c r="N106" s="529" t="s">
        <v>691</v>
      </c>
      <c r="O106" s="530"/>
      <c r="P106" s="531"/>
      <c r="Q106" s="531"/>
      <c r="R106" s="531"/>
      <c r="S106" s="531"/>
      <c r="T106" s="531"/>
      <c r="U106" s="531"/>
      <c r="V106" s="531"/>
      <c r="W106" s="531"/>
      <c r="X106" s="531"/>
      <c r="Y106" s="531"/>
      <c r="Z106" s="531"/>
      <c r="AA106" s="531"/>
      <c r="AB106" s="531"/>
      <c r="AC106" s="531"/>
      <c r="AD106" s="531"/>
      <c r="AE106" s="531"/>
      <c r="AF106" s="532"/>
      <c r="AG106" s="533"/>
      <c r="AH106" s="534"/>
      <c r="AI106" s="535"/>
      <c r="AJ106" s="536"/>
      <c r="AK106" s="536"/>
      <c r="AL106" s="536"/>
      <c r="AM106" s="536"/>
      <c r="AN106" s="536"/>
      <c r="AO106" s="536"/>
      <c r="AP106" s="537"/>
      <c r="AS106" s="632" t="s">
        <v>663</v>
      </c>
      <c r="AT106" s="633" t="s">
        <v>664</v>
      </c>
    </row>
    <row r="107" spans="1:46" ht="11.25" hidden="1" customHeight="1">
      <c r="A107" s="798" t="str">
        <f>N107</f>
        <v>LB1</v>
      </c>
      <c r="B107" s="501">
        <f>AF107</f>
        <v>1.8</v>
      </c>
      <c r="C107" s="799" t="s">
        <v>422</v>
      </c>
      <c r="D107" s="800" t="s">
        <v>665</v>
      </c>
      <c r="E107" s="501">
        <f>AF108</f>
        <v>2</v>
      </c>
      <c r="F107" s="798">
        <f>M107</f>
        <v>200</v>
      </c>
      <c r="G107" s="501" t="s">
        <v>666</v>
      </c>
      <c r="H107" s="801">
        <f>M108</f>
        <v>300</v>
      </c>
      <c r="I107" s="501">
        <f>M109</f>
        <v>1</v>
      </c>
      <c r="J107" s="501">
        <f>M110</f>
        <v>1</v>
      </c>
      <c r="K107" s="799"/>
      <c r="L107" s="54" t="s">
        <v>384</v>
      </c>
      <c r="M107" s="55">
        <v>200</v>
      </c>
      <c r="N107" s="504" t="s">
        <v>704</v>
      </c>
      <c r="O107" s="503">
        <v>1.8</v>
      </c>
      <c r="P107" s="503">
        <v>0</v>
      </c>
      <c r="Q107" s="503">
        <v>0</v>
      </c>
      <c r="R107" s="503">
        <v>0</v>
      </c>
      <c r="S107" s="503">
        <v>0</v>
      </c>
      <c r="T107" s="503">
        <v>0</v>
      </c>
      <c r="U107" s="503">
        <v>0</v>
      </c>
      <c r="V107" s="503">
        <v>0</v>
      </c>
      <c r="W107" s="503">
        <v>0</v>
      </c>
      <c r="X107" s="503">
        <v>0</v>
      </c>
      <c r="Y107" s="503">
        <v>0</v>
      </c>
      <c r="Z107" s="503">
        <v>0</v>
      </c>
      <c r="AA107" s="503">
        <v>0</v>
      </c>
      <c r="AB107" s="503">
        <v>0</v>
      </c>
      <c r="AC107" s="503">
        <v>0</v>
      </c>
      <c r="AD107" s="503">
        <v>0</v>
      </c>
      <c r="AE107" s="503">
        <v>0</v>
      </c>
      <c r="AF107" s="502">
        <f>SUM(O107:AE107)</f>
        <v>1.8</v>
      </c>
      <c r="AG107" s="968" t="s">
        <v>693</v>
      </c>
      <c r="AH107" s="538" t="s">
        <v>692</v>
      </c>
      <c r="AI107" s="539">
        <v>6</v>
      </c>
      <c r="AJ107" s="540">
        <v>200</v>
      </c>
      <c r="AK107" s="540">
        <v>350</v>
      </c>
      <c r="AL107" s="540">
        <v>35</v>
      </c>
      <c r="AM107" s="541">
        <f t="shared" ref="AM107:AM113" si="94">AJ107-(2*AL107)</f>
        <v>130</v>
      </c>
      <c r="AN107" s="541">
        <f t="shared" ref="AN107:AN113" si="95">AK107-(2*AL107)</f>
        <v>280</v>
      </c>
      <c r="AO107" s="542">
        <f t="shared" ref="AO107:AO113" si="96">2*(AM107+AN107)+(2*10*AI107)-(5*2*AI107)</f>
        <v>880</v>
      </c>
      <c r="AP107" s="542">
        <f t="shared" ref="AP107:AP113" si="97">AO107/1000</f>
        <v>0.88</v>
      </c>
      <c r="AS107" s="632" t="s">
        <v>667</v>
      </c>
      <c r="AT107" s="633" t="s">
        <v>664</v>
      </c>
    </row>
    <row r="108" spans="1:46" hidden="1">
      <c r="A108" s="802" t="s">
        <v>668</v>
      </c>
      <c r="B108" s="493">
        <v>16</v>
      </c>
      <c r="C108" s="496">
        <v>2</v>
      </c>
      <c r="D108" s="486">
        <f>B107</f>
        <v>1.8</v>
      </c>
      <c r="E108" s="488">
        <v>10</v>
      </c>
      <c r="F108" s="488">
        <f>((10*B108)*E107*C108)/1000</f>
        <v>0.64</v>
      </c>
      <c r="G108" s="488"/>
      <c r="H108" s="488">
        <f>(D108/6)*(0.04*B108)</f>
        <v>0.192</v>
      </c>
      <c r="I108" s="488">
        <f>C108*(D108+F108+H108)</f>
        <v>5.2640000000000002</v>
      </c>
      <c r="J108" s="488">
        <f t="shared" ref="J108:J113" si="98">B108*B108/162</f>
        <v>1.5802469135802468</v>
      </c>
      <c r="K108" s="489">
        <f t="shared" ref="K108:K113" si="99">(I108*J108)/1000</f>
        <v>8.3184197530864201E-3</v>
      </c>
      <c r="L108" s="54" t="s">
        <v>385</v>
      </c>
      <c r="M108" s="55">
        <v>300</v>
      </c>
      <c r="N108" s="505" t="s">
        <v>667</v>
      </c>
      <c r="O108" s="503">
        <v>2</v>
      </c>
      <c r="P108" s="503">
        <v>0</v>
      </c>
      <c r="Q108" s="503">
        <v>0</v>
      </c>
      <c r="R108" s="503">
        <v>0</v>
      </c>
      <c r="S108" s="503">
        <v>0</v>
      </c>
      <c r="T108" s="503">
        <v>0</v>
      </c>
      <c r="U108" s="503">
        <v>0</v>
      </c>
      <c r="V108" s="503">
        <v>0</v>
      </c>
      <c r="W108" s="503">
        <v>0</v>
      </c>
      <c r="X108" s="503">
        <v>0</v>
      </c>
      <c r="Y108" s="503">
        <v>0</v>
      </c>
      <c r="Z108" s="503">
        <v>0</v>
      </c>
      <c r="AA108" s="503">
        <v>0</v>
      </c>
      <c r="AB108" s="503">
        <v>0</v>
      </c>
      <c r="AC108" s="503">
        <v>0</v>
      </c>
      <c r="AD108" s="503">
        <v>0</v>
      </c>
      <c r="AE108" s="503">
        <v>0</v>
      </c>
      <c r="AF108" s="502">
        <f>SUM(O108:AE108)</f>
        <v>2</v>
      </c>
      <c r="AG108" s="969"/>
      <c r="AH108" s="519">
        <v>0</v>
      </c>
      <c r="AI108" s="520">
        <v>0</v>
      </c>
      <c r="AJ108" s="521">
        <v>0</v>
      </c>
      <c r="AK108" s="521">
        <v>0</v>
      </c>
      <c r="AL108" s="521">
        <v>0</v>
      </c>
      <c r="AM108" s="367">
        <f t="shared" si="94"/>
        <v>0</v>
      </c>
      <c r="AN108" s="367">
        <f t="shared" si="95"/>
        <v>0</v>
      </c>
      <c r="AO108" s="522">
        <f t="shared" si="96"/>
        <v>0</v>
      </c>
      <c r="AP108" s="522">
        <f t="shared" si="97"/>
        <v>0</v>
      </c>
      <c r="AS108" s="632" t="s">
        <v>669</v>
      </c>
      <c r="AT108" s="633" t="s">
        <v>664</v>
      </c>
    </row>
    <row r="109" spans="1:46" hidden="1">
      <c r="A109" s="802"/>
      <c r="B109" s="494">
        <v>16</v>
      </c>
      <c r="C109" s="497">
        <v>2</v>
      </c>
      <c r="D109" s="486">
        <f>B107</f>
        <v>1.8</v>
      </c>
      <c r="E109" s="488">
        <v>10</v>
      </c>
      <c r="F109" s="488">
        <f>((10*B109)*E107*C109)/1000</f>
        <v>0.64</v>
      </c>
      <c r="G109" s="488"/>
      <c r="H109" s="488">
        <f>(D109/6)*(0.04*B109)</f>
        <v>0.192</v>
      </c>
      <c r="I109" s="488">
        <f>C109*(D109+F109+H109)</f>
        <v>5.2640000000000002</v>
      </c>
      <c r="J109" s="488">
        <f t="shared" si="98"/>
        <v>1.5802469135802468</v>
      </c>
      <c r="K109" s="489">
        <f t="shared" si="99"/>
        <v>8.3184197530864201E-3</v>
      </c>
      <c r="L109" s="54" t="s">
        <v>694</v>
      </c>
      <c r="M109" s="55">
        <v>1</v>
      </c>
      <c r="N109" s="505" t="s">
        <v>671</v>
      </c>
      <c r="O109" s="511">
        <f t="shared" ref="O109:AE109" si="100">O107*0.7</f>
        <v>1.26</v>
      </c>
      <c r="P109" s="511">
        <f t="shared" si="100"/>
        <v>0</v>
      </c>
      <c r="Q109" s="511">
        <f t="shared" si="100"/>
        <v>0</v>
      </c>
      <c r="R109" s="511">
        <f t="shared" si="100"/>
        <v>0</v>
      </c>
      <c r="S109" s="511">
        <f t="shared" si="100"/>
        <v>0</v>
      </c>
      <c r="T109" s="511">
        <f t="shared" si="100"/>
        <v>0</v>
      </c>
      <c r="U109" s="511">
        <f t="shared" si="100"/>
        <v>0</v>
      </c>
      <c r="V109" s="511">
        <f t="shared" si="100"/>
        <v>0</v>
      </c>
      <c r="W109" s="511">
        <f t="shared" si="100"/>
        <v>0</v>
      </c>
      <c r="X109" s="511">
        <f t="shared" si="100"/>
        <v>0</v>
      </c>
      <c r="Y109" s="511">
        <f t="shared" si="100"/>
        <v>0</v>
      </c>
      <c r="Z109" s="511">
        <f t="shared" si="100"/>
        <v>0</v>
      </c>
      <c r="AA109" s="511">
        <f t="shared" si="100"/>
        <v>0</v>
      </c>
      <c r="AB109" s="511">
        <f t="shared" si="100"/>
        <v>0</v>
      </c>
      <c r="AC109" s="511">
        <f t="shared" si="100"/>
        <v>0</v>
      </c>
      <c r="AD109" s="511">
        <f t="shared" si="100"/>
        <v>0</v>
      </c>
      <c r="AE109" s="511">
        <f t="shared" si="100"/>
        <v>0</v>
      </c>
      <c r="AF109" s="502"/>
      <c r="AG109" s="969"/>
      <c r="AH109" s="519">
        <v>0</v>
      </c>
      <c r="AI109" s="520">
        <v>0</v>
      </c>
      <c r="AJ109" s="521">
        <v>0</v>
      </c>
      <c r="AK109" s="521">
        <v>0</v>
      </c>
      <c r="AL109" s="521">
        <v>0</v>
      </c>
      <c r="AM109" s="367">
        <f t="shared" si="94"/>
        <v>0</v>
      </c>
      <c r="AN109" s="367">
        <f t="shared" si="95"/>
        <v>0</v>
      </c>
      <c r="AO109" s="522">
        <f t="shared" si="96"/>
        <v>0</v>
      </c>
      <c r="AP109" s="522">
        <f t="shared" si="97"/>
        <v>0</v>
      </c>
      <c r="AS109" s="632" t="s">
        <v>672</v>
      </c>
      <c r="AT109" s="633" t="s">
        <v>664</v>
      </c>
    </row>
    <row r="110" spans="1:46" hidden="1">
      <c r="A110" s="802" t="s">
        <v>683</v>
      </c>
      <c r="B110" s="494">
        <v>16</v>
      </c>
      <c r="C110" s="497">
        <v>1</v>
      </c>
      <c r="D110" s="486">
        <f>AF110</f>
        <v>1.5</v>
      </c>
      <c r="E110" s="488"/>
      <c r="F110" s="488"/>
      <c r="G110" s="488"/>
      <c r="H110" s="488">
        <f>(D110/6)*(0.04*B110)</f>
        <v>0.16</v>
      </c>
      <c r="I110" s="488">
        <f>C110*(D110+F110+H110)</f>
        <v>1.66</v>
      </c>
      <c r="J110" s="488">
        <f t="shared" si="98"/>
        <v>1.5802469135802468</v>
      </c>
      <c r="K110" s="489">
        <f t="shared" si="99"/>
        <v>2.6232098765432096E-3</v>
      </c>
      <c r="L110" s="54" t="s">
        <v>695</v>
      </c>
      <c r="M110" s="55">
        <v>1</v>
      </c>
      <c r="N110" s="505" t="s">
        <v>675</v>
      </c>
      <c r="O110" s="510">
        <v>1.5</v>
      </c>
      <c r="P110" s="510">
        <v>0</v>
      </c>
      <c r="Q110" s="510">
        <v>0</v>
      </c>
      <c r="R110" s="510">
        <v>0</v>
      </c>
      <c r="S110" s="510">
        <v>0</v>
      </c>
      <c r="T110" s="510">
        <v>0</v>
      </c>
      <c r="U110" s="510">
        <v>0</v>
      </c>
      <c r="V110" s="510">
        <v>0</v>
      </c>
      <c r="W110" s="510">
        <v>0</v>
      </c>
      <c r="X110" s="510">
        <v>0</v>
      </c>
      <c r="Y110" s="510">
        <v>0</v>
      </c>
      <c r="Z110" s="510">
        <v>0</v>
      </c>
      <c r="AA110" s="510">
        <v>0</v>
      </c>
      <c r="AB110" s="510">
        <v>0</v>
      </c>
      <c r="AC110" s="510">
        <v>0</v>
      </c>
      <c r="AD110" s="510">
        <v>0</v>
      </c>
      <c r="AE110" s="510">
        <v>0</v>
      </c>
      <c r="AF110" s="502">
        <f>SUM(O110:AE110)</f>
        <v>1.5</v>
      </c>
      <c r="AG110" s="969"/>
      <c r="AH110" s="519">
        <v>0</v>
      </c>
      <c r="AI110" s="520">
        <v>0</v>
      </c>
      <c r="AJ110" s="521">
        <v>0</v>
      </c>
      <c r="AK110" s="521">
        <v>0</v>
      </c>
      <c r="AL110" s="521">
        <v>0</v>
      </c>
      <c r="AM110" s="367">
        <f t="shared" si="94"/>
        <v>0</v>
      </c>
      <c r="AN110" s="367">
        <f t="shared" si="95"/>
        <v>0</v>
      </c>
      <c r="AO110" s="522">
        <f t="shared" si="96"/>
        <v>0</v>
      </c>
      <c r="AP110" s="522">
        <f t="shared" si="97"/>
        <v>0</v>
      </c>
      <c r="AS110" s="632" t="s">
        <v>676</v>
      </c>
      <c r="AT110" s="633" t="s">
        <v>664</v>
      </c>
    </row>
    <row r="111" spans="1:46" hidden="1">
      <c r="A111" s="802" t="s">
        <v>677</v>
      </c>
      <c r="B111" s="494">
        <v>16</v>
      </c>
      <c r="C111" s="498">
        <v>1</v>
      </c>
      <c r="D111" s="486">
        <f>AF112</f>
        <v>1</v>
      </c>
      <c r="E111" s="488">
        <v>10</v>
      </c>
      <c r="F111" s="488">
        <f>((10*B111)*E107*C111)/1000</f>
        <v>0.32</v>
      </c>
      <c r="G111" s="488"/>
      <c r="H111" s="488">
        <f>(D111/6)*(0.04*B111)</f>
        <v>0.10666666666666666</v>
      </c>
      <c r="I111" s="488">
        <f>C111*(D111+F111+H111)</f>
        <v>1.4266666666666667</v>
      </c>
      <c r="J111" s="488">
        <f t="shared" si="98"/>
        <v>1.5802469135802468</v>
      </c>
      <c r="K111" s="489">
        <f t="shared" si="99"/>
        <v>2.2544855967078191E-3</v>
      </c>
      <c r="L111" s="54" t="s">
        <v>696</v>
      </c>
      <c r="M111" s="55">
        <v>0.15</v>
      </c>
      <c r="N111" s="505" t="s">
        <v>679</v>
      </c>
      <c r="O111" s="511">
        <f t="shared" ref="O111:AE111" si="101">O107*0.35</f>
        <v>0.63</v>
      </c>
      <c r="P111" s="511">
        <f t="shared" si="101"/>
        <v>0</v>
      </c>
      <c r="Q111" s="511">
        <f t="shared" si="101"/>
        <v>0</v>
      </c>
      <c r="R111" s="511">
        <f t="shared" si="101"/>
        <v>0</v>
      </c>
      <c r="S111" s="511">
        <f t="shared" si="101"/>
        <v>0</v>
      </c>
      <c r="T111" s="511">
        <f t="shared" si="101"/>
        <v>0</v>
      </c>
      <c r="U111" s="511">
        <f t="shared" si="101"/>
        <v>0</v>
      </c>
      <c r="V111" s="511">
        <f t="shared" si="101"/>
        <v>0</v>
      </c>
      <c r="W111" s="511">
        <f t="shared" si="101"/>
        <v>0</v>
      </c>
      <c r="X111" s="511">
        <f t="shared" si="101"/>
        <v>0</v>
      </c>
      <c r="Y111" s="511">
        <f t="shared" si="101"/>
        <v>0</v>
      </c>
      <c r="Z111" s="511">
        <f t="shared" si="101"/>
        <v>0</v>
      </c>
      <c r="AA111" s="511">
        <f t="shared" si="101"/>
        <v>0</v>
      </c>
      <c r="AB111" s="511">
        <f t="shared" si="101"/>
        <v>0</v>
      </c>
      <c r="AC111" s="511">
        <f t="shared" si="101"/>
        <v>0</v>
      </c>
      <c r="AD111" s="511">
        <f t="shared" si="101"/>
        <v>0</v>
      </c>
      <c r="AE111" s="511">
        <f t="shared" si="101"/>
        <v>0</v>
      </c>
      <c r="AF111" s="502"/>
      <c r="AG111" s="969"/>
      <c r="AH111" s="519">
        <v>0</v>
      </c>
      <c r="AI111" s="520">
        <v>0</v>
      </c>
      <c r="AJ111" s="521">
        <v>0</v>
      </c>
      <c r="AK111" s="521">
        <v>0</v>
      </c>
      <c r="AL111" s="521">
        <v>0</v>
      </c>
      <c r="AM111" s="367">
        <f t="shared" si="94"/>
        <v>0</v>
      </c>
      <c r="AN111" s="367">
        <f t="shared" si="95"/>
        <v>0</v>
      </c>
      <c r="AO111" s="522">
        <f t="shared" si="96"/>
        <v>0</v>
      </c>
      <c r="AP111" s="522">
        <f t="shared" si="97"/>
        <v>0</v>
      </c>
      <c r="AS111" s="632" t="s">
        <v>680</v>
      </c>
      <c r="AT111" s="633" t="s">
        <v>664</v>
      </c>
    </row>
    <row r="112" spans="1:46" hidden="1">
      <c r="A112" s="803">
        <f>M111</f>
        <v>0.15</v>
      </c>
      <c r="B112" s="494">
        <v>6</v>
      </c>
      <c r="C112" s="488">
        <f>(D111/A112)*I107</f>
        <v>6.666666666666667</v>
      </c>
      <c r="D112" s="486">
        <f>M113</f>
        <v>0.88</v>
      </c>
      <c r="E112" s="488"/>
      <c r="F112" s="488"/>
      <c r="G112" s="488"/>
      <c r="H112" s="488"/>
      <c r="I112" s="488">
        <f>D112*C112</f>
        <v>5.8666666666666671</v>
      </c>
      <c r="J112" s="488">
        <f t="shared" si="98"/>
        <v>0.22222222222222221</v>
      </c>
      <c r="K112" s="489">
        <f t="shared" si="99"/>
        <v>1.3037037037037038E-3</v>
      </c>
      <c r="L112" s="54" t="s">
        <v>697</v>
      </c>
      <c r="M112" s="55">
        <v>0.15</v>
      </c>
      <c r="N112" s="506" t="s">
        <v>681</v>
      </c>
      <c r="O112" s="510">
        <v>1</v>
      </c>
      <c r="P112" s="510">
        <v>0</v>
      </c>
      <c r="Q112" s="510">
        <v>0</v>
      </c>
      <c r="R112" s="510">
        <v>0</v>
      </c>
      <c r="S112" s="510">
        <v>0</v>
      </c>
      <c r="T112" s="510">
        <v>0</v>
      </c>
      <c r="U112" s="510">
        <v>0</v>
      </c>
      <c r="V112" s="510">
        <v>0</v>
      </c>
      <c r="W112" s="510">
        <v>0</v>
      </c>
      <c r="X112" s="510">
        <v>0</v>
      </c>
      <c r="Y112" s="510">
        <v>0</v>
      </c>
      <c r="Z112" s="510">
        <v>0</v>
      </c>
      <c r="AA112" s="510">
        <v>0</v>
      </c>
      <c r="AB112" s="510">
        <v>0</v>
      </c>
      <c r="AC112" s="510">
        <v>0</v>
      </c>
      <c r="AD112" s="510">
        <v>0</v>
      </c>
      <c r="AE112" s="510">
        <v>0</v>
      </c>
      <c r="AF112" s="502">
        <f>SUM(O112:AE112)</f>
        <v>1</v>
      </c>
      <c r="AG112" s="969"/>
      <c r="AH112" s="519">
        <v>0</v>
      </c>
      <c r="AI112" s="520">
        <v>0</v>
      </c>
      <c r="AJ112" s="521">
        <v>0</v>
      </c>
      <c r="AK112" s="521">
        <v>0</v>
      </c>
      <c r="AL112" s="521">
        <v>0</v>
      </c>
      <c r="AM112" s="367">
        <f t="shared" si="94"/>
        <v>0</v>
      </c>
      <c r="AN112" s="367">
        <f t="shared" si="95"/>
        <v>0</v>
      </c>
      <c r="AO112" s="522">
        <f t="shared" si="96"/>
        <v>0</v>
      </c>
      <c r="AP112" s="522">
        <f t="shared" si="97"/>
        <v>0</v>
      </c>
      <c r="AS112" s="632" t="s">
        <v>682</v>
      </c>
      <c r="AT112" s="633" t="s">
        <v>664</v>
      </c>
    </row>
    <row r="113" spans="1:46" hidden="1">
      <c r="A113" s="490">
        <f>M112</f>
        <v>0.15</v>
      </c>
      <c r="B113" s="495">
        <v>6</v>
      </c>
      <c r="C113" s="491">
        <f>((B107-D111)/A113)*J107</f>
        <v>5.3333333333333339</v>
      </c>
      <c r="D113" s="487">
        <f>M113</f>
        <v>0.88</v>
      </c>
      <c r="E113" s="491"/>
      <c r="F113" s="491"/>
      <c r="G113" s="491"/>
      <c r="H113" s="491"/>
      <c r="I113" s="491">
        <f>D113*C113</f>
        <v>4.6933333333333342</v>
      </c>
      <c r="J113" s="491">
        <f t="shared" si="98"/>
        <v>0.22222222222222221</v>
      </c>
      <c r="K113" s="492">
        <f t="shared" si="99"/>
        <v>1.042962962962963E-3</v>
      </c>
      <c r="L113" s="337" t="s">
        <v>698</v>
      </c>
      <c r="M113" s="338">
        <f>AP107</f>
        <v>0.88</v>
      </c>
      <c r="N113" s="507"/>
      <c r="O113" s="508"/>
      <c r="P113" s="508"/>
      <c r="Q113" s="508"/>
      <c r="R113" s="508"/>
      <c r="S113" s="508"/>
      <c r="T113" s="508"/>
      <c r="U113" s="508"/>
      <c r="V113" s="508"/>
      <c r="W113" s="508"/>
      <c r="X113" s="508"/>
      <c r="Y113" s="508"/>
      <c r="Z113" s="508"/>
      <c r="AA113" s="508"/>
      <c r="AB113" s="508"/>
      <c r="AC113" s="508"/>
      <c r="AD113" s="508"/>
      <c r="AE113" s="508"/>
      <c r="AF113" s="509"/>
      <c r="AG113" s="969"/>
      <c r="AH113" s="519">
        <v>0</v>
      </c>
      <c r="AI113" s="520">
        <v>0</v>
      </c>
      <c r="AJ113" s="521">
        <v>0</v>
      </c>
      <c r="AK113" s="521">
        <v>0</v>
      </c>
      <c r="AL113" s="521">
        <v>0</v>
      </c>
      <c r="AM113" s="367">
        <f t="shared" si="94"/>
        <v>0</v>
      </c>
      <c r="AN113" s="367">
        <f t="shared" si="95"/>
        <v>0</v>
      </c>
      <c r="AO113" s="522">
        <f t="shared" si="96"/>
        <v>0</v>
      </c>
      <c r="AP113" s="522">
        <f t="shared" si="97"/>
        <v>0</v>
      </c>
      <c r="AS113" s="632" t="s">
        <v>699</v>
      </c>
      <c r="AT113" s="633" t="s">
        <v>664</v>
      </c>
    </row>
    <row r="114" spans="1:46">
      <c r="A114" s="35"/>
      <c r="B114" s="36"/>
      <c r="C114" s="36"/>
      <c r="D114" s="37"/>
      <c r="E114" s="36"/>
      <c r="F114" s="36"/>
      <c r="G114" s="36"/>
      <c r="H114" s="36"/>
      <c r="I114" s="36"/>
      <c r="J114" s="36"/>
      <c r="K114" s="36"/>
      <c r="L114" s="24"/>
      <c r="M114" s="50"/>
      <c r="N114" s="518"/>
      <c r="O114" s="35"/>
      <c r="P114" s="35"/>
      <c r="Q114" s="35"/>
      <c r="R114" s="35"/>
      <c r="S114" s="35"/>
      <c r="T114" s="35"/>
      <c r="U114" s="35"/>
      <c r="V114" s="35"/>
      <c r="W114" s="35"/>
      <c r="X114" s="35"/>
      <c r="Y114" s="35"/>
      <c r="Z114" s="35"/>
      <c r="AA114" s="35"/>
      <c r="AB114" s="35"/>
      <c r="AC114" s="35"/>
      <c r="AD114" s="35"/>
      <c r="AE114" s="35"/>
      <c r="AF114" s="38"/>
      <c r="AG114" s="970"/>
      <c r="AH114" s="24"/>
      <c r="AI114" s="24"/>
      <c r="AJ114" s="24"/>
      <c r="AK114" s="24"/>
      <c r="AL114" s="24"/>
      <c r="AM114" s="24"/>
      <c r="AN114" s="24"/>
      <c r="AO114" s="24"/>
      <c r="AP114" s="24"/>
      <c r="AQ114" s="24"/>
      <c r="AR114" s="24"/>
    </row>
    <row r="115" spans="1:46">
      <c r="A115" s="35"/>
      <c r="B115" s="36"/>
      <c r="C115" s="36"/>
      <c r="D115" s="37"/>
      <c r="E115" s="36"/>
      <c r="F115" s="1003" t="s">
        <v>684</v>
      </c>
      <c r="G115" s="1004"/>
      <c r="H115" s="998" t="s">
        <v>685</v>
      </c>
      <c r="I115" s="1000"/>
      <c r="J115" s="501" t="s">
        <v>686</v>
      </c>
      <c r="K115" s="36"/>
      <c r="L115" s="24"/>
      <c r="M115" s="50"/>
      <c r="N115" s="518"/>
      <c r="O115" s="35"/>
      <c r="P115" s="35"/>
      <c r="Q115" s="35"/>
      <c r="R115" s="35"/>
      <c r="S115" s="35"/>
      <c r="T115" s="35"/>
      <c r="U115" s="35"/>
      <c r="V115" s="35"/>
      <c r="W115" s="35"/>
      <c r="X115" s="35"/>
      <c r="Y115" s="35"/>
      <c r="Z115" s="35"/>
      <c r="AA115" s="35"/>
      <c r="AB115" s="35"/>
      <c r="AC115" s="35"/>
      <c r="AD115" s="35"/>
      <c r="AE115" s="35"/>
      <c r="AF115" s="38"/>
      <c r="AG115" s="24"/>
      <c r="AH115" s="24"/>
      <c r="AI115" s="24"/>
      <c r="AJ115" s="24"/>
      <c r="AK115" s="24"/>
      <c r="AL115" s="24"/>
      <c r="AM115" s="24"/>
      <c r="AN115" s="24"/>
      <c r="AO115" s="24"/>
      <c r="AP115" s="24"/>
      <c r="AQ115" s="24"/>
      <c r="AR115" s="24"/>
    </row>
    <row r="116" spans="1:46">
      <c r="A116" s="35"/>
      <c r="B116" s="36"/>
      <c r="C116" s="36"/>
      <c r="D116" s="37"/>
      <c r="E116" s="36"/>
      <c r="F116" s="1005"/>
      <c r="G116" s="1006"/>
      <c r="H116" s="799">
        <v>6</v>
      </c>
      <c r="I116" s="804">
        <f t="shared" ref="I116:I121" si="102">SUMIF($B$45:$B$113,H116,$K$45:$K$113)</f>
        <v>0.19789961481481483</v>
      </c>
      <c r="J116" s="799">
        <f>I116*1000</f>
        <v>197.89961481481484</v>
      </c>
      <c r="K116" s="36"/>
      <c r="L116" s="24"/>
      <c r="M116" s="50"/>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c r="AP116" s="24"/>
      <c r="AQ116" s="24"/>
      <c r="AR116" s="24"/>
    </row>
    <row r="117" spans="1:46">
      <c r="A117" s="35"/>
      <c r="B117" s="36"/>
      <c r="C117" s="36"/>
      <c r="D117" s="37"/>
      <c r="E117" s="36"/>
      <c r="F117" s="1005"/>
      <c r="G117" s="1006"/>
      <c r="H117" s="799">
        <v>10</v>
      </c>
      <c r="I117" s="804">
        <f t="shared" si="102"/>
        <v>0</v>
      </c>
      <c r="J117" s="799">
        <f t="shared" ref="J117:J121" si="103">I117*1000</f>
        <v>0</v>
      </c>
      <c r="K117" s="36"/>
      <c r="L117" s="24"/>
      <c r="M117" s="50"/>
      <c r="N117" s="24"/>
      <c r="O117" s="24"/>
      <c r="P117" s="24"/>
      <c r="Q117" s="24"/>
      <c r="R117" s="24"/>
      <c r="S117" s="24"/>
      <c r="T117" s="24"/>
      <c r="U117" s="24"/>
      <c r="V117" s="24"/>
      <c r="W117" s="24"/>
      <c r="X117" s="24"/>
      <c r="Y117" s="24"/>
      <c r="Z117" s="24"/>
      <c r="AA117" s="24"/>
      <c r="AB117" s="24"/>
      <c r="AC117" s="24"/>
      <c r="AD117" s="24"/>
      <c r="AE117" s="24"/>
      <c r="AF117" s="24"/>
      <c r="AG117" s="24"/>
      <c r="AH117" s="24"/>
      <c r="AI117" s="24"/>
      <c r="AJ117" s="24"/>
      <c r="AK117" s="24"/>
      <c r="AL117" s="24"/>
      <c r="AM117" s="24"/>
      <c r="AN117" s="24"/>
      <c r="AO117" s="24"/>
      <c r="AP117" s="24"/>
      <c r="AQ117" s="24"/>
      <c r="AR117" s="24"/>
    </row>
    <row r="118" spans="1:46">
      <c r="A118" s="35"/>
      <c r="B118" s="36"/>
      <c r="C118" s="36"/>
      <c r="D118" s="37"/>
      <c r="E118" s="36"/>
      <c r="F118" s="1005"/>
      <c r="G118" s="1006"/>
      <c r="H118" s="799">
        <v>12</v>
      </c>
      <c r="I118" s="804">
        <f t="shared" si="102"/>
        <v>0</v>
      </c>
      <c r="J118" s="799">
        <f t="shared" si="103"/>
        <v>0</v>
      </c>
      <c r="K118" s="36"/>
      <c r="L118" s="24"/>
      <c r="M118" s="50"/>
      <c r="N118" s="24"/>
      <c r="O118" s="24"/>
      <c r="P118" s="24"/>
      <c r="Q118" s="24"/>
      <c r="R118" s="24"/>
      <c r="S118" s="24"/>
      <c r="T118" s="24"/>
      <c r="U118" s="24"/>
      <c r="V118" s="24"/>
      <c r="W118" s="24"/>
      <c r="X118" s="24"/>
      <c r="Y118" s="24"/>
      <c r="Z118" s="24"/>
      <c r="AA118" s="24"/>
      <c r="AB118" s="24"/>
      <c r="AC118" s="24"/>
      <c r="AD118" s="24"/>
      <c r="AE118" s="24"/>
      <c r="AF118" s="24"/>
      <c r="AG118" s="24"/>
      <c r="AH118" s="24"/>
      <c r="AI118" s="24"/>
      <c r="AJ118" s="24"/>
      <c r="AK118" s="24"/>
      <c r="AL118" s="24"/>
      <c r="AM118" s="24"/>
      <c r="AN118" s="24"/>
      <c r="AO118" s="24"/>
      <c r="AP118" s="24"/>
      <c r="AQ118" s="24"/>
      <c r="AR118" s="24"/>
    </row>
    <row r="119" spans="1:46">
      <c r="A119" s="35"/>
      <c r="B119" s="36"/>
      <c r="C119" s="36"/>
      <c r="D119" s="37"/>
      <c r="E119" s="36"/>
      <c r="F119" s="1005"/>
      <c r="G119" s="1006"/>
      <c r="H119" s="799">
        <v>16</v>
      </c>
      <c r="I119" s="804">
        <f t="shared" si="102"/>
        <v>0.98851599802469137</v>
      </c>
      <c r="J119" s="799">
        <f t="shared" si="103"/>
        <v>988.51599802469138</v>
      </c>
      <c r="K119" s="36"/>
      <c r="L119" s="24"/>
      <c r="M119" s="50"/>
      <c r="N119" s="24"/>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AO119" s="24"/>
      <c r="AP119" s="24"/>
      <c r="AQ119" s="24"/>
      <c r="AR119" s="24"/>
    </row>
    <row r="120" spans="1:46">
      <c r="A120" s="35"/>
      <c r="B120" s="36"/>
      <c r="C120" s="36"/>
      <c r="D120" s="37"/>
      <c r="E120" s="36"/>
      <c r="F120" s="1005"/>
      <c r="G120" s="1006"/>
      <c r="H120" s="799">
        <v>20</v>
      </c>
      <c r="I120" s="804">
        <f t="shared" si="102"/>
        <v>0</v>
      </c>
      <c r="J120" s="799">
        <f t="shared" si="103"/>
        <v>0</v>
      </c>
      <c r="K120" s="36"/>
      <c r="L120" s="24"/>
      <c r="M120" s="50"/>
      <c r="N120" s="24"/>
      <c r="O120" s="24"/>
      <c r="P120" s="24"/>
      <c r="Q120" s="24"/>
      <c r="R120" s="24"/>
      <c r="S120" s="24"/>
      <c r="T120" s="24"/>
      <c r="U120" s="24"/>
      <c r="V120" s="24"/>
      <c r="W120" s="24"/>
      <c r="X120" s="24"/>
      <c r="Y120" s="24"/>
      <c r="Z120" s="24"/>
      <c r="AA120" s="24"/>
      <c r="AB120" s="24"/>
      <c r="AC120" s="24"/>
      <c r="AD120" s="24"/>
      <c r="AE120" s="24"/>
      <c r="AF120" s="24"/>
      <c r="AG120" s="24"/>
      <c r="AH120" s="24"/>
      <c r="AI120" s="24"/>
      <c r="AJ120" s="24"/>
      <c r="AK120" s="24"/>
      <c r="AL120" s="24"/>
      <c r="AM120" s="24"/>
      <c r="AN120" s="24"/>
      <c r="AO120" s="24"/>
      <c r="AP120" s="24"/>
      <c r="AQ120" s="24"/>
      <c r="AR120" s="24"/>
    </row>
    <row r="121" spans="1:46">
      <c r="A121" s="35"/>
      <c r="B121" s="36"/>
      <c r="C121" s="36"/>
      <c r="D121" s="37"/>
      <c r="E121" s="36"/>
      <c r="F121" s="1005"/>
      <c r="G121" s="1006"/>
      <c r="H121" s="799">
        <v>25</v>
      </c>
      <c r="I121" s="804">
        <f t="shared" si="102"/>
        <v>0</v>
      </c>
      <c r="J121" s="799">
        <f t="shared" si="103"/>
        <v>0</v>
      </c>
      <c r="K121" s="36"/>
      <c r="L121" s="24"/>
      <c r="M121" s="50"/>
      <c r="N121" s="24"/>
      <c r="O121" s="24"/>
      <c r="P121" s="24"/>
      <c r="Q121" s="24"/>
      <c r="R121" s="24"/>
      <c r="S121" s="24"/>
      <c r="T121" s="24"/>
      <c r="U121" s="24"/>
      <c r="V121" s="24"/>
      <c r="W121" s="24"/>
      <c r="X121" s="24"/>
      <c r="Y121" s="24"/>
      <c r="Z121" s="24"/>
      <c r="AA121" s="24"/>
      <c r="AB121" s="24"/>
      <c r="AC121" s="24"/>
      <c r="AD121" s="24"/>
      <c r="AE121" s="24"/>
      <c r="AF121" s="24"/>
      <c r="AG121" s="24"/>
      <c r="AH121" s="24"/>
      <c r="AI121" s="24"/>
      <c r="AJ121" s="24"/>
      <c r="AK121" s="24"/>
      <c r="AL121" s="24"/>
      <c r="AM121" s="24"/>
      <c r="AN121" s="24"/>
      <c r="AO121" s="24"/>
      <c r="AP121" s="24"/>
      <c r="AQ121" s="24"/>
      <c r="AR121" s="24"/>
    </row>
    <row r="122" spans="1:46">
      <c r="A122" s="35"/>
      <c r="B122" s="36"/>
      <c r="C122" s="36"/>
      <c r="D122" s="37"/>
      <c r="E122" s="36"/>
      <c r="F122" s="998" t="s">
        <v>572</v>
      </c>
      <c r="G122" s="999"/>
      <c r="H122" s="1000"/>
      <c r="I122" s="501">
        <f>SUM(I116:I121)</f>
        <v>1.1864156128395063</v>
      </c>
      <c r="J122" s="501">
        <f>SUM(J116:J121)</f>
        <v>1186.4156128395061</v>
      </c>
      <c r="K122" s="36"/>
      <c r="L122" s="24"/>
      <c r="M122" s="50"/>
      <c r="N122" s="24"/>
      <c r="O122" s="24"/>
      <c r="P122" s="24"/>
      <c r="Q122" s="24"/>
      <c r="R122" s="24"/>
      <c r="S122" s="24"/>
      <c r="T122" s="24"/>
      <c r="U122" s="24"/>
      <c r="V122" s="24"/>
      <c r="W122" s="24"/>
      <c r="X122" s="24"/>
      <c r="Y122" s="24"/>
      <c r="Z122" s="24"/>
      <c r="AA122" s="24"/>
      <c r="AB122" s="24"/>
      <c r="AC122" s="24"/>
      <c r="AD122" s="24"/>
      <c r="AE122" s="24"/>
      <c r="AF122" s="24"/>
      <c r="AG122" s="24"/>
      <c r="AH122" s="24"/>
      <c r="AI122" s="24"/>
      <c r="AJ122" s="24"/>
      <c r="AK122" s="24"/>
      <c r="AL122" s="24"/>
      <c r="AM122" s="24"/>
      <c r="AN122" s="24"/>
      <c r="AO122" s="24"/>
      <c r="AP122" s="24"/>
      <c r="AQ122" s="24"/>
      <c r="AR122" s="24"/>
    </row>
    <row r="123" spans="1:46" ht="12" thickBot="1">
      <c r="A123" s="24"/>
      <c r="B123" s="24"/>
      <c r="C123" s="24"/>
      <c r="D123" s="24"/>
      <c r="E123" s="24"/>
      <c r="F123" s="24"/>
      <c r="G123" s="16"/>
      <c r="H123" s="24"/>
      <c r="I123" s="24"/>
      <c r="J123" s="24"/>
      <c r="K123" s="24"/>
      <c r="L123" s="24"/>
      <c r="M123" s="50"/>
      <c r="N123" s="24"/>
      <c r="O123" s="24"/>
      <c r="P123" s="24"/>
      <c r="Q123" s="24"/>
      <c r="R123" s="24"/>
      <c r="S123" s="24"/>
      <c r="T123" s="24"/>
      <c r="U123" s="24"/>
      <c r="V123" s="24"/>
      <c r="W123" s="24"/>
      <c r="X123" s="24"/>
      <c r="Y123" s="24"/>
      <c r="Z123" s="24"/>
      <c r="AA123" s="24"/>
      <c r="AB123" s="24"/>
      <c r="AC123" s="24"/>
      <c r="AD123" s="24"/>
      <c r="AE123" s="24"/>
      <c r="AF123" s="24"/>
      <c r="AG123" s="24"/>
      <c r="AH123" s="24"/>
      <c r="AI123" s="24"/>
      <c r="AJ123" s="24"/>
      <c r="AK123" s="24"/>
      <c r="AL123" s="24"/>
      <c r="AM123" s="24"/>
      <c r="AN123" s="24"/>
      <c r="AO123" s="24"/>
      <c r="AP123" s="24"/>
      <c r="AQ123" s="24"/>
      <c r="AR123" s="24"/>
    </row>
    <row r="124" spans="1:46" s="479" customFormat="1" ht="12" thickBot="1">
      <c r="A124" s="474" t="s">
        <v>472</v>
      </c>
      <c r="B124" s="475"/>
      <c r="C124" s="476"/>
      <c r="D124" s="477"/>
      <c r="E124" s="475"/>
      <c r="F124" s="475"/>
      <c r="G124" s="475"/>
      <c r="H124" s="476"/>
      <c r="I124" s="476"/>
      <c r="J124" s="476"/>
      <c r="K124" s="478"/>
      <c r="M124" s="480"/>
      <c r="AT124" s="475"/>
    </row>
    <row r="125" spans="1:46" s="22" customFormat="1" ht="30.75" customHeight="1">
      <c r="A125" s="481" t="s">
        <v>642</v>
      </c>
      <c r="B125" s="481" t="s">
        <v>643</v>
      </c>
      <c r="C125" s="482" t="s">
        <v>644</v>
      </c>
      <c r="D125" s="481" t="s">
        <v>645</v>
      </c>
      <c r="E125" s="481" t="s">
        <v>646</v>
      </c>
      <c r="F125" s="481" t="s">
        <v>647</v>
      </c>
      <c r="G125" s="1001" t="s">
        <v>648</v>
      </c>
      <c r="H125" s="1002"/>
      <c r="I125" s="482" t="s">
        <v>649</v>
      </c>
      <c r="J125" s="482" t="s">
        <v>650</v>
      </c>
      <c r="K125" s="483" t="s">
        <v>651</v>
      </c>
      <c r="L125" s="971" t="s">
        <v>652</v>
      </c>
      <c r="M125" s="972"/>
      <c r="N125" s="973" t="s">
        <v>653</v>
      </c>
      <c r="O125" s="973"/>
      <c r="P125" s="973"/>
      <c r="Q125" s="973"/>
      <c r="R125" s="973"/>
      <c r="S125" s="973"/>
      <c r="T125" s="973"/>
      <c r="U125" s="973"/>
      <c r="V125" s="973"/>
      <c r="W125" s="973"/>
      <c r="X125" s="973"/>
      <c r="Y125" s="973"/>
      <c r="Z125" s="973"/>
      <c r="AA125" s="973"/>
      <c r="AB125" s="973"/>
      <c r="AC125" s="973"/>
      <c r="AD125" s="973"/>
      <c r="AE125" s="973"/>
      <c r="AF125" s="973"/>
      <c r="AG125" s="484" t="s">
        <v>688</v>
      </c>
      <c r="AH125" s="484" t="s">
        <v>382</v>
      </c>
      <c r="AI125" s="484" t="s">
        <v>654</v>
      </c>
      <c r="AJ125" s="484" t="s">
        <v>384</v>
      </c>
      <c r="AK125" s="484" t="s">
        <v>385</v>
      </c>
      <c r="AL125" s="484" t="s">
        <v>655</v>
      </c>
      <c r="AM125" s="484" t="s">
        <v>656</v>
      </c>
      <c r="AN125" s="484" t="s">
        <v>657</v>
      </c>
      <c r="AO125" s="485" t="s">
        <v>658</v>
      </c>
      <c r="AP125" s="485" t="s">
        <v>659</v>
      </c>
    </row>
    <row r="126" spans="1:46">
      <c r="A126" s="794"/>
      <c r="B126" s="795"/>
      <c r="C126" s="795"/>
      <c r="D126" s="796"/>
      <c r="E126" s="795"/>
      <c r="F126" s="795"/>
      <c r="G126" s="795"/>
      <c r="H126" s="795"/>
      <c r="I126" s="501" t="s">
        <v>689</v>
      </c>
      <c r="J126" s="501" t="s">
        <v>690</v>
      </c>
      <c r="K126" s="797"/>
      <c r="L126" s="527"/>
      <c r="M126" s="528"/>
      <c r="N126" s="529" t="s">
        <v>691</v>
      </c>
      <c r="O126" s="530"/>
      <c r="P126" s="531"/>
      <c r="Q126" s="531"/>
      <c r="R126" s="531"/>
      <c r="S126" s="531"/>
      <c r="T126" s="531"/>
      <c r="U126" s="531"/>
      <c r="V126" s="531"/>
      <c r="W126" s="531"/>
      <c r="X126" s="531"/>
      <c r="Y126" s="531"/>
      <c r="Z126" s="531"/>
      <c r="AA126" s="531"/>
      <c r="AB126" s="531"/>
      <c r="AC126" s="531"/>
      <c r="AD126" s="531"/>
      <c r="AE126" s="531"/>
      <c r="AF126" s="532"/>
      <c r="AG126" s="533"/>
      <c r="AH126" s="534"/>
      <c r="AI126" s="535"/>
      <c r="AJ126" s="536"/>
      <c r="AK126" s="536"/>
      <c r="AL126" s="536"/>
      <c r="AM126" s="536"/>
      <c r="AN126" s="536"/>
      <c r="AO126" s="536"/>
      <c r="AP126" s="537"/>
      <c r="AS126" s="632" t="s">
        <v>663</v>
      </c>
      <c r="AT126" s="633" t="s">
        <v>664</v>
      </c>
    </row>
    <row r="127" spans="1:46" ht="11.25" customHeight="1">
      <c r="A127" s="798" t="str">
        <f>N127</f>
        <v>B1</v>
      </c>
      <c r="B127" s="501">
        <f>AF127</f>
        <v>6.1</v>
      </c>
      <c r="C127" s="799" t="s">
        <v>422</v>
      </c>
      <c r="D127" s="800" t="s">
        <v>665</v>
      </c>
      <c r="E127" s="501">
        <f>AF128</f>
        <v>1</v>
      </c>
      <c r="F127" s="798">
        <f>M127</f>
        <v>200</v>
      </c>
      <c r="G127" s="501" t="s">
        <v>666</v>
      </c>
      <c r="H127" s="801">
        <f>M128</f>
        <v>400</v>
      </c>
      <c r="I127" s="501">
        <f>M129</f>
        <v>2</v>
      </c>
      <c r="J127" s="501">
        <f>M130</f>
        <v>2</v>
      </c>
      <c r="K127" s="799"/>
      <c r="L127" s="54" t="s">
        <v>384</v>
      </c>
      <c r="M127" s="55">
        <v>200</v>
      </c>
      <c r="N127" s="504" t="s">
        <v>692</v>
      </c>
      <c r="O127" s="503">
        <v>6.1</v>
      </c>
      <c r="P127" s="503">
        <v>0</v>
      </c>
      <c r="Q127" s="503">
        <v>0</v>
      </c>
      <c r="R127" s="503">
        <v>0</v>
      </c>
      <c r="S127" s="503">
        <v>0</v>
      </c>
      <c r="T127" s="503">
        <v>0</v>
      </c>
      <c r="U127" s="503">
        <v>0</v>
      </c>
      <c r="V127" s="503">
        <v>0</v>
      </c>
      <c r="W127" s="503">
        <v>0</v>
      </c>
      <c r="X127" s="503">
        <v>0</v>
      </c>
      <c r="Y127" s="503">
        <v>0</v>
      </c>
      <c r="Z127" s="503">
        <v>0</v>
      </c>
      <c r="AA127" s="503">
        <v>0</v>
      </c>
      <c r="AB127" s="503">
        <v>0</v>
      </c>
      <c r="AC127" s="503">
        <v>0</v>
      </c>
      <c r="AD127" s="503">
        <v>0</v>
      </c>
      <c r="AE127" s="503">
        <v>0</v>
      </c>
      <c r="AF127" s="502">
        <f>SUM(O127:AE127)</f>
        <v>6.1</v>
      </c>
      <c r="AG127" s="968" t="s">
        <v>693</v>
      </c>
      <c r="AH127" s="538" t="s">
        <v>692</v>
      </c>
      <c r="AI127" s="539">
        <v>6</v>
      </c>
      <c r="AJ127" s="540">
        <v>200</v>
      </c>
      <c r="AK127" s="540">
        <v>350</v>
      </c>
      <c r="AL127" s="540">
        <v>35</v>
      </c>
      <c r="AM127" s="541">
        <f t="shared" ref="AM127:AM134" si="104">AJ127-(2*AL127)</f>
        <v>130</v>
      </c>
      <c r="AN127" s="541">
        <f t="shared" ref="AN127:AN134" si="105">AK127-(2*AL127)</f>
        <v>280</v>
      </c>
      <c r="AO127" s="542">
        <f t="shared" ref="AO127:AO134" si="106">2*(AM127+AN127)+(2*10*AI127)-(5*2*AI127)</f>
        <v>880</v>
      </c>
      <c r="AP127" s="542">
        <f t="shared" ref="AP127:AP134" si="107">AO127/1000</f>
        <v>0.88</v>
      </c>
      <c r="AS127" s="632" t="s">
        <v>667</v>
      </c>
      <c r="AT127" s="633" t="s">
        <v>664</v>
      </c>
    </row>
    <row r="128" spans="1:46">
      <c r="A128" s="802" t="s">
        <v>668</v>
      </c>
      <c r="B128" s="493">
        <v>16</v>
      </c>
      <c r="C128" s="496">
        <v>2</v>
      </c>
      <c r="D128" s="486">
        <f>B127</f>
        <v>6.1</v>
      </c>
      <c r="E128" s="488">
        <v>10</v>
      </c>
      <c r="F128" s="488">
        <f>((10*B128)*E127*C128)/1000</f>
        <v>0.32</v>
      </c>
      <c r="G128" s="488"/>
      <c r="H128" s="488">
        <f>(D128/6)*(0.04*B128)</f>
        <v>0.65066666666666662</v>
      </c>
      <c r="I128" s="488">
        <f>C128*(D128+F128+H128)</f>
        <v>14.141333333333334</v>
      </c>
      <c r="J128" s="488">
        <f t="shared" ref="J128:J133" si="108">B128*B128/162</f>
        <v>1.5802469135802468</v>
      </c>
      <c r="K128" s="489">
        <f t="shared" ref="K128:K133" si="109">(I128*J128)/1000</f>
        <v>2.2346798353909462E-2</v>
      </c>
      <c r="L128" s="54" t="s">
        <v>385</v>
      </c>
      <c r="M128" s="55">
        <v>400</v>
      </c>
      <c r="N128" s="505" t="s">
        <v>667</v>
      </c>
      <c r="O128" s="503">
        <v>1</v>
      </c>
      <c r="P128" s="503">
        <v>0</v>
      </c>
      <c r="Q128" s="503">
        <v>0</v>
      </c>
      <c r="R128" s="503">
        <v>0</v>
      </c>
      <c r="S128" s="503">
        <v>0</v>
      </c>
      <c r="T128" s="503">
        <v>0</v>
      </c>
      <c r="U128" s="503">
        <v>0</v>
      </c>
      <c r="V128" s="503">
        <v>0</v>
      </c>
      <c r="W128" s="503">
        <v>0</v>
      </c>
      <c r="X128" s="503">
        <v>0</v>
      </c>
      <c r="Y128" s="503">
        <v>0</v>
      </c>
      <c r="Z128" s="503">
        <v>0</v>
      </c>
      <c r="AA128" s="503">
        <v>0</v>
      </c>
      <c r="AB128" s="503">
        <v>0</v>
      </c>
      <c r="AC128" s="503">
        <v>0</v>
      </c>
      <c r="AD128" s="503">
        <v>0</v>
      </c>
      <c r="AE128" s="503">
        <v>0</v>
      </c>
      <c r="AF128" s="502">
        <f>SUM(O128:AE128)</f>
        <v>1</v>
      </c>
      <c r="AG128" s="969"/>
      <c r="AH128" s="519">
        <v>0</v>
      </c>
      <c r="AI128" s="520">
        <v>0</v>
      </c>
      <c r="AJ128" s="521">
        <v>0</v>
      </c>
      <c r="AK128" s="521">
        <v>0</v>
      </c>
      <c r="AL128" s="521">
        <v>0</v>
      </c>
      <c r="AM128" s="367">
        <f t="shared" si="104"/>
        <v>0</v>
      </c>
      <c r="AN128" s="367">
        <f t="shared" si="105"/>
        <v>0</v>
      </c>
      <c r="AO128" s="522">
        <f t="shared" si="106"/>
        <v>0</v>
      </c>
      <c r="AP128" s="522">
        <f t="shared" si="107"/>
        <v>0</v>
      </c>
      <c r="AS128" s="632" t="s">
        <v>669</v>
      </c>
      <c r="AT128" s="633" t="s">
        <v>664</v>
      </c>
    </row>
    <row r="129" spans="1:46">
      <c r="A129" s="802"/>
      <c r="B129" s="494">
        <v>16</v>
      </c>
      <c r="C129" s="497">
        <v>2</v>
      </c>
      <c r="D129" s="486">
        <f>B127</f>
        <v>6.1</v>
      </c>
      <c r="E129" s="488">
        <v>10</v>
      </c>
      <c r="F129" s="488">
        <f>((10*B129)*E127*C129)/1000</f>
        <v>0.32</v>
      </c>
      <c r="G129" s="488"/>
      <c r="H129" s="488">
        <f>(D129/6)*(0.04*B129)</f>
        <v>0.65066666666666662</v>
      </c>
      <c r="I129" s="488">
        <f>C129*(D129+F129+H129)</f>
        <v>14.141333333333334</v>
      </c>
      <c r="J129" s="488">
        <f t="shared" si="108"/>
        <v>1.5802469135802468</v>
      </c>
      <c r="K129" s="489">
        <f t="shared" si="109"/>
        <v>2.2346798353909462E-2</v>
      </c>
      <c r="L129" s="54" t="s">
        <v>694</v>
      </c>
      <c r="M129" s="55">
        <v>2</v>
      </c>
      <c r="N129" s="505" t="s">
        <v>671</v>
      </c>
      <c r="O129" s="511">
        <f t="shared" ref="O129:AE129" si="110">O127*0.7</f>
        <v>4.2699999999999996</v>
      </c>
      <c r="P129" s="511">
        <f t="shared" si="110"/>
        <v>0</v>
      </c>
      <c r="Q129" s="511">
        <f t="shared" si="110"/>
        <v>0</v>
      </c>
      <c r="R129" s="511">
        <f t="shared" si="110"/>
        <v>0</v>
      </c>
      <c r="S129" s="511">
        <f t="shared" si="110"/>
        <v>0</v>
      </c>
      <c r="T129" s="511">
        <f t="shared" si="110"/>
        <v>0</v>
      </c>
      <c r="U129" s="511">
        <f t="shared" si="110"/>
        <v>0</v>
      </c>
      <c r="V129" s="511">
        <f t="shared" si="110"/>
        <v>0</v>
      </c>
      <c r="W129" s="511">
        <f t="shared" si="110"/>
        <v>0</v>
      </c>
      <c r="X129" s="511">
        <f t="shared" si="110"/>
        <v>0</v>
      </c>
      <c r="Y129" s="511">
        <f t="shared" si="110"/>
        <v>0</v>
      </c>
      <c r="Z129" s="511">
        <f t="shared" si="110"/>
        <v>0</v>
      </c>
      <c r="AA129" s="511">
        <f t="shared" si="110"/>
        <v>0</v>
      </c>
      <c r="AB129" s="511">
        <f t="shared" si="110"/>
        <v>0</v>
      </c>
      <c r="AC129" s="511">
        <f t="shared" si="110"/>
        <v>0</v>
      </c>
      <c r="AD129" s="511">
        <f t="shared" si="110"/>
        <v>0</v>
      </c>
      <c r="AE129" s="511">
        <f t="shared" si="110"/>
        <v>0</v>
      </c>
      <c r="AF129" s="502"/>
      <c r="AG129" s="969"/>
      <c r="AH129" s="519">
        <v>0</v>
      </c>
      <c r="AI129" s="520">
        <v>0</v>
      </c>
      <c r="AJ129" s="521">
        <v>0</v>
      </c>
      <c r="AK129" s="521">
        <v>0</v>
      </c>
      <c r="AL129" s="521">
        <v>0</v>
      </c>
      <c r="AM129" s="367">
        <f t="shared" si="104"/>
        <v>0</v>
      </c>
      <c r="AN129" s="367">
        <f t="shared" si="105"/>
        <v>0</v>
      </c>
      <c r="AO129" s="522">
        <f t="shared" si="106"/>
        <v>0</v>
      </c>
      <c r="AP129" s="522">
        <f t="shared" si="107"/>
        <v>0</v>
      </c>
      <c r="AS129" s="632" t="s">
        <v>672</v>
      </c>
      <c r="AT129" s="633" t="s">
        <v>664</v>
      </c>
    </row>
    <row r="130" spans="1:46">
      <c r="A130" s="802" t="s">
        <v>683</v>
      </c>
      <c r="B130" s="494">
        <v>16</v>
      </c>
      <c r="C130" s="497">
        <v>4</v>
      </c>
      <c r="D130" s="486">
        <f>AF130</f>
        <v>2</v>
      </c>
      <c r="E130" s="488"/>
      <c r="F130" s="488"/>
      <c r="G130" s="488"/>
      <c r="H130" s="488">
        <f>(D130/6)*(0.04*B130)</f>
        <v>0.21333333333333332</v>
      </c>
      <c r="I130" s="488">
        <f>C130*(D130+F130+H130)</f>
        <v>8.8533333333333335</v>
      </c>
      <c r="J130" s="488">
        <f t="shared" si="108"/>
        <v>1.5802469135802468</v>
      </c>
      <c r="K130" s="489">
        <f t="shared" si="109"/>
        <v>1.399045267489712E-2</v>
      </c>
      <c r="L130" s="54" t="s">
        <v>695</v>
      </c>
      <c r="M130" s="55">
        <v>2</v>
      </c>
      <c r="N130" s="505" t="s">
        <v>675</v>
      </c>
      <c r="O130" s="510">
        <v>2</v>
      </c>
      <c r="P130" s="510">
        <v>0</v>
      </c>
      <c r="Q130" s="510">
        <v>0</v>
      </c>
      <c r="R130" s="510">
        <v>0</v>
      </c>
      <c r="S130" s="510">
        <v>0</v>
      </c>
      <c r="T130" s="510">
        <v>0</v>
      </c>
      <c r="U130" s="510">
        <v>0</v>
      </c>
      <c r="V130" s="510">
        <v>0</v>
      </c>
      <c r="W130" s="510">
        <v>0</v>
      </c>
      <c r="X130" s="510">
        <v>0</v>
      </c>
      <c r="Y130" s="510">
        <v>0</v>
      </c>
      <c r="Z130" s="510">
        <v>0</v>
      </c>
      <c r="AA130" s="510">
        <v>0</v>
      </c>
      <c r="AB130" s="510">
        <v>0</v>
      </c>
      <c r="AC130" s="510">
        <v>0</v>
      </c>
      <c r="AD130" s="510">
        <v>0</v>
      </c>
      <c r="AE130" s="510">
        <v>0</v>
      </c>
      <c r="AF130" s="502">
        <f>SUM(O130:AE130)</f>
        <v>2</v>
      </c>
      <c r="AG130" s="969"/>
      <c r="AH130" s="519">
        <v>0</v>
      </c>
      <c r="AI130" s="520">
        <v>0</v>
      </c>
      <c r="AJ130" s="521">
        <v>0</v>
      </c>
      <c r="AK130" s="521">
        <v>0</v>
      </c>
      <c r="AL130" s="521">
        <v>0</v>
      </c>
      <c r="AM130" s="367">
        <f t="shared" si="104"/>
        <v>0</v>
      </c>
      <c r="AN130" s="367">
        <f t="shared" si="105"/>
        <v>0</v>
      </c>
      <c r="AO130" s="522">
        <f t="shared" si="106"/>
        <v>0</v>
      </c>
      <c r="AP130" s="522">
        <f t="shared" si="107"/>
        <v>0</v>
      </c>
      <c r="AS130" s="632" t="s">
        <v>676</v>
      </c>
      <c r="AT130" s="633" t="s">
        <v>664</v>
      </c>
    </row>
    <row r="131" spans="1:46">
      <c r="A131" s="802" t="s">
        <v>677</v>
      </c>
      <c r="B131" s="494">
        <v>16</v>
      </c>
      <c r="C131" s="498">
        <v>4</v>
      </c>
      <c r="D131" s="486">
        <f>AF132</f>
        <v>1</v>
      </c>
      <c r="E131" s="488">
        <v>10</v>
      </c>
      <c r="F131" s="488">
        <f>((10*B131)*E127*C131)/1000</f>
        <v>0.64</v>
      </c>
      <c r="G131" s="488"/>
      <c r="H131" s="488">
        <f>(D131/6)*(0.04*B131)</f>
        <v>0.10666666666666666</v>
      </c>
      <c r="I131" s="488">
        <f>C131*(D131+F131+H131)</f>
        <v>6.9866666666666672</v>
      </c>
      <c r="J131" s="488">
        <f t="shared" si="108"/>
        <v>1.5802469135802468</v>
      </c>
      <c r="K131" s="489">
        <f t="shared" si="109"/>
        <v>1.1040658436213992E-2</v>
      </c>
      <c r="L131" s="54" t="s">
        <v>696</v>
      </c>
      <c r="M131" s="55">
        <v>0.1</v>
      </c>
      <c r="N131" s="505" t="s">
        <v>679</v>
      </c>
      <c r="O131" s="511">
        <f t="shared" ref="O131:AE131" si="111">O127*0.35</f>
        <v>2.1349999999999998</v>
      </c>
      <c r="P131" s="511">
        <f t="shared" si="111"/>
        <v>0</v>
      </c>
      <c r="Q131" s="511">
        <f t="shared" si="111"/>
        <v>0</v>
      </c>
      <c r="R131" s="511">
        <f t="shared" si="111"/>
        <v>0</v>
      </c>
      <c r="S131" s="511">
        <f t="shared" si="111"/>
        <v>0</v>
      </c>
      <c r="T131" s="511">
        <f t="shared" si="111"/>
        <v>0</v>
      </c>
      <c r="U131" s="511">
        <f t="shared" si="111"/>
        <v>0</v>
      </c>
      <c r="V131" s="511">
        <f t="shared" si="111"/>
        <v>0</v>
      </c>
      <c r="W131" s="511">
        <f t="shared" si="111"/>
        <v>0</v>
      </c>
      <c r="X131" s="511">
        <f t="shared" si="111"/>
        <v>0</v>
      </c>
      <c r="Y131" s="511">
        <f t="shared" si="111"/>
        <v>0</v>
      </c>
      <c r="Z131" s="511">
        <f t="shared" si="111"/>
        <v>0</v>
      </c>
      <c r="AA131" s="511">
        <f t="shared" si="111"/>
        <v>0</v>
      </c>
      <c r="AB131" s="511">
        <f t="shared" si="111"/>
        <v>0</v>
      </c>
      <c r="AC131" s="511">
        <f t="shared" si="111"/>
        <v>0</v>
      </c>
      <c r="AD131" s="511">
        <f t="shared" si="111"/>
        <v>0</v>
      </c>
      <c r="AE131" s="511">
        <f t="shared" si="111"/>
        <v>0</v>
      </c>
      <c r="AF131" s="502"/>
      <c r="AG131" s="969"/>
      <c r="AH131" s="519">
        <v>0</v>
      </c>
      <c r="AI131" s="520">
        <v>0</v>
      </c>
      <c r="AJ131" s="521">
        <v>0</v>
      </c>
      <c r="AK131" s="521">
        <v>0</v>
      </c>
      <c r="AL131" s="521">
        <v>0</v>
      </c>
      <c r="AM131" s="367">
        <f t="shared" si="104"/>
        <v>0</v>
      </c>
      <c r="AN131" s="367">
        <f t="shared" si="105"/>
        <v>0</v>
      </c>
      <c r="AO131" s="522">
        <f t="shared" si="106"/>
        <v>0</v>
      </c>
      <c r="AP131" s="522">
        <f t="shared" si="107"/>
        <v>0</v>
      </c>
      <c r="AS131" s="632" t="s">
        <v>680</v>
      </c>
      <c r="AT131" s="633" t="s">
        <v>664</v>
      </c>
    </row>
    <row r="132" spans="1:46">
      <c r="A132" s="803">
        <f>M131</f>
        <v>0.1</v>
      </c>
      <c r="B132" s="494">
        <v>6</v>
      </c>
      <c r="C132" s="488">
        <f>(D131/A132)*I127</f>
        <v>20</v>
      </c>
      <c r="D132" s="486">
        <f>M133</f>
        <v>0.88</v>
      </c>
      <c r="E132" s="488"/>
      <c r="F132" s="488"/>
      <c r="G132" s="488"/>
      <c r="H132" s="488"/>
      <c r="I132" s="488">
        <f>D132*C132</f>
        <v>17.600000000000001</v>
      </c>
      <c r="J132" s="488">
        <f t="shared" si="108"/>
        <v>0.22222222222222221</v>
      </c>
      <c r="K132" s="489">
        <f t="shared" si="109"/>
        <v>3.9111111111111117E-3</v>
      </c>
      <c r="L132" s="54" t="s">
        <v>697</v>
      </c>
      <c r="M132" s="55">
        <v>0.15</v>
      </c>
      <c r="N132" s="506" t="s">
        <v>681</v>
      </c>
      <c r="O132" s="510">
        <v>1</v>
      </c>
      <c r="P132" s="510">
        <v>0</v>
      </c>
      <c r="Q132" s="510">
        <v>0</v>
      </c>
      <c r="R132" s="510">
        <v>0</v>
      </c>
      <c r="S132" s="510">
        <v>0</v>
      </c>
      <c r="T132" s="510">
        <v>0</v>
      </c>
      <c r="U132" s="510">
        <v>0</v>
      </c>
      <c r="V132" s="510">
        <v>0</v>
      </c>
      <c r="W132" s="510">
        <v>0</v>
      </c>
      <c r="X132" s="510">
        <v>0</v>
      </c>
      <c r="Y132" s="510">
        <v>0</v>
      </c>
      <c r="Z132" s="510">
        <v>0</v>
      </c>
      <c r="AA132" s="510">
        <v>0</v>
      </c>
      <c r="AB132" s="510">
        <v>0</v>
      </c>
      <c r="AC132" s="510">
        <v>0</v>
      </c>
      <c r="AD132" s="510">
        <v>0</v>
      </c>
      <c r="AE132" s="510">
        <v>0</v>
      </c>
      <c r="AF132" s="502">
        <f>SUM(O132:AE132)</f>
        <v>1</v>
      </c>
      <c r="AG132" s="969"/>
      <c r="AH132" s="519">
        <v>0</v>
      </c>
      <c r="AI132" s="520">
        <v>0</v>
      </c>
      <c r="AJ132" s="521">
        <v>0</v>
      </c>
      <c r="AK132" s="521">
        <v>0</v>
      </c>
      <c r="AL132" s="521">
        <v>0</v>
      </c>
      <c r="AM132" s="367">
        <f t="shared" si="104"/>
        <v>0</v>
      </c>
      <c r="AN132" s="367">
        <f t="shared" si="105"/>
        <v>0</v>
      </c>
      <c r="AO132" s="522">
        <f t="shared" si="106"/>
        <v>0</v>
      </c>
      <c r="AP132" s="522">
        <f t="shared" si="107"/>
        <v>0</v>
      </c>
      <c r="AS132" s="632" t="s">
        <v>682</v>
      </c>
      <c r="AT132" s="633" t="s">
        <v>664</v>
      </c>
    </row>
    <row r="133" spans="1:46">
      <c r="A133" s="490">
        <f>M132</f>
        <v>0.15</v>
      </c>
      <c r="B133" s="495">
        <v>6</v>
      </c>
      <c r="C133" s="491">
        <f>((B127-D131)/A133)*J127</f>
        <v>68</v>
      </c>
      <c r="D133" s="487">
        <f>M133</f>
        <v>0.88</v>
      </c>
      <c r="E133" s="491"/>
      <c r="F133" s="491"/>
      <c r="G133" s="491"/>
      <c r="H133" s="491"/>
      <c r="I133" s="491">
        <f>D133*C133</f>
        <v>59.84</v>
      </c>
      <c r="J133" s="491">
        <f t="shared" si="108"/>
        <v>0.22222222222222221</v>
      </c>
      <c r="K133" s="492">
        <f t="shared" si="109"/>
        <v>1.3297777777777778E-2</v>
      </c>
      <c r="L133" s="337" t="s">
        <v>698</v>
      </c>
      <c r="M133" s="338">
        <f>AP127</f>
        <v>0.88</v>
      </c>
      <c r="N133" s="507"/>
      <c r="O133" s="508"/>
      <c r="P133" s="508"/>
      <c r="Q133" s="508"/>
      <c r="R133" s="508"/>
      <c r="S133" s="508"/>
      <c r="T133" s="508"/>
      <c r="U133" s="508"/>
      <c r="V133" s="508"/>
      <c r="W133" s="508"/>
      <c r="X133" s="508"/>
      <c r="Y133" s="508"/>
      <c r="Z133" s="508"/>
      <c r="AA133" s="508"/>
      <c r="AB133" s="508"/>
      <c r="AC133" s="508"/>
      <c r="AD133" s="508"/>
      <c r="AE133" s="508"/>
      <c r="AF133" s="509"/>
      <c r="AG133" s="969"/>
      <c r="AH133" s="519">
        <v>0</v>
      </c>
      <c r="AI133" s="520">
        <v>0</v>
      </c>
      <c r="AJ133" s="521">
        <v>0</v>
      </c>
      <c r="AK133" s="521">
        <v>0</v>
      </c>
      <c r="AL133" s="521">
        <v>0</v>
      </c>
      <c r="AM133" s="367">
        <f t="shared" si="104"/>
        <v>0</v>
      </c>
      <c r="AN133" s="367">
        <f t="shared" si="105"/>
        <v>0</v>
      </c>
      <c r="AO133" s="522">
        <f t="shared" si="106"/>
        <v>0</v>
      </c>
      <c r="AP133" s="522">
        <f t="shared" si="107"/>
        <v>0</v>
      </c>
      <c r="AS133" s="632" t="s">
        <v>699</v>
      </c>
      <c r="AT133" s="633" t="s">
        <v>664</v>
      </c>
    </row>
    <row r="134" spans="1:46">
      <c r="A134" s="512"/>
      <c r="B134" s="513"/>
      <c r="C134" s="513"/>
      <c r="D134" s="514"/>
      <c r="E134" s="513"/>
      <c r="F134" s="513"/>
      <c r="G134" s="513"/>
      <c r="H134" s="513"/>
      <c r="I134" s="513"/>
      <c r="J134" s="513"/>
      <c r="K134" s="513"/>
      <c r="L134" s="515"/>
      <c r="M134" s="516"/>
      <c r="N134" s="515"/>
      <c r="O134" s="515"/>
      <c r="P134" s="515"/>
      <c r="Q134" s="515"/>
      <c r="R134" s="515"/>
      <c r="S134" s="515"/>
      <c r="T134" s="515"/>
      <c r="U134" s="515"/>
      <c r="V134" s="515"/>
      <c r="W134" s="515"/>
      <c r="X134" s="515"/>
      <c r="Y134" s="515"/>
      <c r="Z134" s="515"/>
      <c r="AA134" s="515"/>
      <c r="AB134" s="515"/>
      <c r="AC134" s="515"/>
      <c r="AD134" s="515"/>
      <c r="AE134" s="515"/>
      <c r="AF134" s="517"/>
      <c r="AG134" s="970"/>
      <c r="AH134" s="543">
        <v>0</v>
      </c>
      <c r="AI134" s="523">
        <v>0</v>
      </c>
      <c r="AJ134" s="524">
        <v>0</v>
      </c>
      <c r="AK134" s="524">
        <v>0</v>
      </c>
      <c r="AL134" s="524">
        <v>0</v>
      </c>
      <c r="AM134" s="525">
        <f t="shared" si="104"/>
        <v>0</v>
      </c>
      <c r="AN134" s="525">
        <f t="shared" si="105"/>
        <v>0</v>
      </c>
      <c r="AO134" s="526">
        <f t="shared" si="106"/>
        <v>0</v>
      </c>
      <c r="AP134" s="526">
        <f t="shared" si="107"/>
        <v>0</v>
      </c>
      <c r="AS134" s="499"/>
      <c r="AT134" s="500"/>
    </row>
    <row r="135" spans="1:46">
      <c r="A135" s="794"/>
      <c r="B135" s="795"/>
      <c r="C135" s="795"/>
      <c r="D135" s="796"/>
      <c r="E135" s="795"/>
      <c r="F135" s="795"/>
      <c r="G135" s="795"/>
      <c r="H135" s="795"/>
      <c r="I135" s="501" t="s">
        <v>689</v>
      </c>
      <c r="J135" s="501" t="s">
        <v>690</v>
      </c>
      <c r="K135" s="797"/>
      <c r="L135" s="527"/>
      <c r="M135" s="528"/>
      <c r="N135" s="529" t="s">
        <v>691</v>
      </c>
      <c r="O135" s="530"/>
      <c r="P135" s="531"/>
      <c r="Q135" s="531"/>
      <c r="R135" s="531"/>
      <c r="S135" s="531"/>
      <c r="T135" s="531"/>
      <c r="U135" s="531"/>
      <c r="V135" s="531"/>
      <c r="W135" s="531"/>
      <c r="X135" s="531"/>
      <c r="Y135" s="531"/>
      <c r="Z135" s="531"/>
      <c r="AA135" s="531"/>
      <c r="AB135" s="531"/>
      <c r="AC135" s="531"/>
      <c r="AD135" s="531"/>
      <c r="AE135" s="531"/>
      <c r="AF135" s="532"/>
      <c r="AG135" s="533"/>
      <c r="AH135" s="534"/>
      <c r="AI135" s="535"/>
      <c r="AJ135" s="536"/>
      <c r="AK135" s="536"/>
      <c r="AL135" s="536"/>
      <c r="AM135" s="536"/>
      <c r="AN135" s="536"/>
      <c r="AO135" s="536"/>
      <c r="AP135" s="537"/>
      <c r="AS135" s="632" t="s">
        <v>663</v>
      </c>
      <c r="AT135" s="633" t="s">
        <v>664</v>
      </c>
    </row>
    <row r="136" spans="1:46" ht="11.25" customHeight="1">
      <c r="A136" s="798" t="str">
        <f>N136</f>
        <v>B2</v>
      </c>
      <c r="B136" s="501">
        <f>AF136</f>
        <v>0</v>
      </c>
      <c r="C136" s="799" t="s">
        <v>422</v>
      </c>
      <c r="D136" s="800" t="s">
        <v>665</v>
      </c>
      <c r="E136" s="501">
        <f>AF137</f>
        <v>0</v>
      </c>
      <c r="F136" s="798">
        <f>M136</f>
        <v>200</v>
      </c>
      <c r="G136" s="501" t="s">
        <v>666</v>
      </c>
      <c r="H136" s="801">
        <f>M137</f>
        <v>400</v>
      </c>
      <c r="I136" s="501">
        <f>M138</f>
        <v>2</v>
      </c>
      <c r="J136" s="501">
        <f>M139</f>
        <v>1</v>
      </c>
      <c r="K136" s="799"/>
      <c r="L136" s="54" t="s">
        <v>384</v>
      </c>
      <c r="M136" s="55">
        <v>200</v>
      </c>
      <c r="N136" s="504" t="s">
        <v>700</v>
      </c>
      <c r="O136" s="503">
        <v>0</v>
      </c>
      <c r="P136" s="503">
        <v>0</v>
      </c>
      <c r="Q136" s="503">
        <v>0</v>
      </c>
      <c r="R136" s="503">
        <v>0</v>
      </c>
      <c r="S136" s="503">
        <v>0</v>
      </c>
      <c r="T136" s="503">
        <v>0</v>
      </c>
      <c r="U136" s="503">
        <v>0</v>
      </c>
      <c r="V136" s="503">
        <v>0</v>
      </c>
      <c r="W136" s="503">
        <v>0</v>
      </c>
      <c r="X136" s="503">
        <v>0</v>
      </c>
      <c r="Y136" s="503">
        <v>0</v>
      </c>
      <c r="Z136" s="503">
        <v>0</v>
      </c>
      <c r="AA136" s="503">
        <v>0</v>
      </c>
      <c r="AB136" s="503">
        <v>0</v>
      </c>
      <c r="AC136" s="503">
        <v>0</v>
      </c>
      <c r="AD136" s="503">
        <v>0</v>
      </c>
      <c r="AE136" s="503">
        <v>0</v>
      </c>
      <c r="AF136" s="502">
        <f>SUM(O136:AE136)</f>
        <v>0</v>
      </c>
      <c r="AG136" s="968" t="s">
        <v>693</v>
      </c>
      <c r="AH136" s="538" t="s">
        <v>692</v>
      </c>
      <c r="AI136" s="539">
        <v>6</v>
      </c>
      <c r="AJ136" s="540">
        <v>200</v>
      </c>
      <c r="AK136" s="540">
        <v>350</v>
      </c>
      <c r="AL136" s="540">
        <v>35</v>
      </c>
      <c r="AM136" s="541">
        <f t="shared" ref="AM136:AM143" si="112">AJ136-(2*AL136)</f>
        <v>130</v>
      </c>
      <c r="AN136" s="541">
        <f t="shared" ref="AN136:AN143" si="113">AK136-(2*AL136)</f>
        <v>280</v>
      </c>
      <c r="AO136" s="542">
        <f t="shared" ref="AO136:AO143" si="114">2*(AM136+AN136)+(2*10*AI136)-(5*2*AI136)</f>
        <v>880</v>
      </c>
      <c r="AP136" s="542">
        <f t="shared" ref="AP136:AP143" si="115">AO136/1000</f>
        <v>0.88</v>
      </c>
      <c r="AS136" s="632" t="s">
        <v>667</v>
      </c>
      <c r="AT136" s="633" t="s">
        <v>664</v>
      </c>
    </row>
    <row r="137" spans="1:46">
      <c r="A137" s="802" t="s">
        <v>668</v>
      </c>
      <c r="B137" s="493">
        <v>16</v>
      </c>
      <c r="C137" s="496">
        <v>2</v>
      </c>
      <c r="D137" s="486">
        <f>B136</f>
        <v>0</v>
      </c>
      <c r="E137" s="488">
        <v>10</v>
      </c>
      <c r="F137" s="488">
        <f>((10*B137)*E136*C137)/1000</f>
        <v>0</v>
      </c>
      <c r="G137" s="488"/>
      <c r="H137" s="488">
        <f>(D137/6)*(0.04*B137)</f>
        <v>0</v>
      </c>
      <c r="I137" s="488">
        <f>C137*(D137+F137+H137)</f>
        <v>0</v>
      </c>
      <c r="J137" s="488">
        <f t="shared" ref="J137:J142" si="116">B137*B137/162</f>
        <v>1.5802469135802468</v>
      </c>
      <c r="K137" s="489">
        <f t="shared" ref="K137:K142" si="117">(I137*J137)/1000</f>
        <v>0</v>
      </c>
      <c r="L137" s="54" t="s">
        <v>385</v>
      </c>
      <c r="M137" s="55">
        <v>400</v>
      </c>
      <c r="N137" s="505" t="s">
        <v>667</v>
      </c>
      <c r="O137" s="503">
        <v>0</v>
      </c>
      <c r="P137" s="503">
        <v>0</v>
      </c>
      <c r="Q137" s="503">
        <v>0</v>
      </c>
      <c r="R137" s="503">
        <v>0</v>
      </c>
      <c r="S137" s="503">
        <v>0</v>
      </c>
      <c r="T137" s="503">
        <v>0</v>
      </c>
      <c r="U137" s="503">
        <v>0</v>
      </c>
      <c r="V137" s="503">
        <v>0</v>
      </c>
      <c r="W137" s="503">
        <v>0</v>
      </c>
      <c r="X137" s="503">
        <v>0</v>
      </c>
      <c r="Y137" s="503">
        <v>0</v>
      </c>
      <c r="Z137" s="503">
        <v>0</v>
      </c>
      <c r="AA137" s="503">
        <v>0</v>
      </c>
      <c r="AB137" s="503">
        <v>0</v>
      </c>
      <c r="AC137" s="503">
        <v>0</v>
      </c>
      <c r="AD137" s="503">
        <v>0</v>
      </c>
      <c r="AE137" s="503">
        <v>0</v>
      </c>
      <c r="AF137" s="502">
        <f>SUM(O137:AE137)</f>
        <v>0</v>
      </c>
      <c r="AG137" s="969"/>
      <c r="AH137" s="519">
        <v>0</v>
      </c>
      <c r="AI137" s="520">
        <v>0</v>
      </c>
      <c r="AJ137" s="521">
        <v>0</v>
      </c>
      <c r="AK137" s="521">
        <v>0</v>
      </c>
      <c r="AL137" s="521">
        <v>0</v>
      </c>
      <c r="AM137" s="367">
        <f t="shared" si="112"/>
        <v>0</v>
      </c>
      <c r="AN137" s="367">
        <f t="shared" si="113"/>
        <v>0</v>
      </c>
      <c r="AO137" s="522">
        <f t="shared" si="114"/>
        <v>0</v>
      </c>
      <c r="AP137" s="522">
        <f t="shared" si="115"/>
        <v>0</v>
      </c>
      <c r="AS137" s="632" t="s">
        <v>669</v>
      </c>
      <c r="AT137" s="633" t="s">
        <v>664</v>
      </c>
    </row>
    <row r="138" spans="1:46">
      <c r="A138" s="802"/>
      <c r="B138" s="494">
        <v>16</v>
      </c>
      <c r="C138" s="497">
        <v>2</v>
      </c>
      <c r="D138" s="486">
        <f>B136</f>
        <v>0</v>
      </c>
      <c r="E138" s="488">
        <v>10</v>
      </c>
      <c r="F138" s="488">
        <f>((10*B138)*E136*C138)/1000</f>
        <v>0</v>
      </c>
      <c r="G138" s="488"/>
      <c r="H138" s="488">
        <f>(D138/6)*(0.04*B138)</f>
        <v>0</v>
      </c>
      <c r="I138" s="488">
        <f>C138*(D138+F138+H138)</f>
        <v>0</v>
      </c>
      <c r="J138" s="488">
        <f t="shared" si="116"/>
        <v>1.5802469135802468</v>
      </c>
      <c r="K138" s="489">
        <f t="shared" si="117"/>
        <v>0</v>
      </c>
      <c r="L138" s="54" t="s">
        <v>694</v>
      </c>
      <c r="M138" s="55">
        <v>2</v>
      </c>
      <c r="N138" s="505" t="s">
        <v>671</v>
      </c>
      <c r="O138" s="511">
        <f t="shared" ref="O138:AE138" si="118">O136*0.7</f>
        <v>0</v>
      </c>
      <c r="P138" s="511">
        <f t="shared" si="118"/>
        <v>0</v>
      </c>
      <c r="Q138" s="511">
        <f t="shared" si="118"/>
        <v>0</v>
      </c>
      <c r="R138" s="511">
        <f t="shared" si="118"/>
        <v>0</v>
      </c>
      <c r="S138" s="511">
        <f t="shared" si="118"/>
        <v>0</v>
      </c>
      <c r="T138" s="511">
        <f t="shared" si="118"/>
        <v>0</v>
      </c>
      <c r="U138" s="511">
        <f t="shared" si="118"/>
        <v>0</v>
      </c>
      <c r="V138" s="511">
        <f t="shared" si="118"/>
        <v>0</v>
      </c>
      <c r="W138" s="511">
        <f t="shared" si="118"/>
        <v>0</v>
      </c>
      <c r="X138" s="511">
        <f t="shared" si="118"/>
        <v>0</v>
      </c>
      <c r="Y138" s="511">
        <f t="shared" si="118"/>
        <v>0</v>
      </c>
      <c r="Z138" s="511">
        <f t="shared" si="118"/>
        <v>0</v>
      </c>
      <c r="AA138" s="511">
        <f t="shared" si="118"/>
        <v>0</v>
      </c>
      <c r="AB138" s="511">
        <f t="shared" si="118"/>
        <v>0</v>
      </c>
      <c r="AC138" s="511">
        <f t="shared" si="118"/>
        <v>0</v>
      </c>
      <c r="AD138" s="511">
        <f t="shared" si="118"/>
        <v>0</v>
      </c>
      <c r="AE138" s="511">
        <f t="shared" si="118"/>
        <v>0</v>
      </c>
      <c r="AF138" s="502"/>
      <c r="AG138" s="969"/>
      <c r="AH138" s="519">
        <v>0</v>
      </c>
      <c r="AI138" s="520">
        <v>0</v>
      </c>
      <c r="AJ138" s="521">
        <v>0</v>
      </c>
      <c r="AK138" s="521">
        <v>0</v>
      </c>
      <c r="AL138" s="521">
        <v>0</v>
      </c>
      <c r="AM138" s="367">
        <f t="shared" si="112"/>
        <v>0</v>
      </c>
      <c r="AN138" s="367">
        <f t="shared" si="113"/>
        <v>0</v>
      </c>
      <c r="AO138" s="522">
        <f t="shared" si="114"/>
        <v>0</v>
      </c>
      <c r="AP138" s="522">
        <f t="shared" si="115"/>
        <v>0</v>
      </c>
      <c r="AS138" s="632" t="s">
        <v>672</v>
      </c>
      <c r="AT138" s="633" t="s">
        <v>664</v>
      </c>
    </row>
    <row r="139" spans="1:46">
      <c r="A139" s="802" t="s">
        <v>683</v>
      </c>
      <c r="B139" s="494">
        <v>16</v>
      </c>
      <c r="C139" s="497">
        <v>4</v>
      </c>
      <c r="D139" s="486">
        <f>AF139</f>
        <v>0</v>
      </c>
      <c r="E139" s="488"/>
      <c r="F139" s="488"/>
      <c r="G139" s="488"/>
      <c r="H139" s="488">
        <f>(D139/6)*(0.04*B139)</f>
        <v>0</v>
      </c>
      <c r="I139" s="488">
        <f>C139*(D139+F139+H139)</f>
        <v>0</v>
      </c>
      <c r="J139" s="488">
        <f t="shared" si="116"/>
        <v>1.5802469135802468</v>
      </c>
      <c r="K139" s="489">
        <f t="shared" si="117"/>
        <v>0</v>
      </c>
      <c r="L139" s="54" t="s">
        <v>695</v>
      </c>
      <c r="M139" s="55">
        <v>1</v>
      </c>
      <c r="N139" s="505" t="s">
        <v>675</v>
      </c>
      <c r="O139" s="510">
        <v>0</v>
      </c>
      <c r="P139" s="510">
        <v>0</v>
      </c>
      <c r="Q139" s="510">
        <v>0</v>
      </c>
      <c r="R139" s="510">
        <v>0</v>
      </c>
      <c r="S139" s="510">
        <v>0</v>
      </c>
      <c r="T139" s="510">
        <v>0</v>
      </c>
      <c r="U139" s="510">
        <v>0</v>
      </c>
      <c r="V139" s="510">
        <v>0</v>
      </c>
      <c r="W139" s="510">
        <v>0</v>
      </c>
      <c r="X139" s="510">
        <v>0</v>
      </c>
      <c r="Y139" s="510">
        <v>0</v>
      </c>
      <c r="Z139" s="510">
        <v>0</v>
      </c>
      <c r="AA139" s="510">
        <v>0</v>
      </c>
      <c r="AB139" s="510">
        <v>0</v>
      </c>
      <c r="AC139" s="510">
        <v>0</v>
      </c>
      <c r="AD139" s="510">
        <v>0</v>
      </c>
      <c r="AE139" s="510">
        <v>0</v>
      </c>
      <c r="AF139" s="502">
        <f>SUM(O139:AE139)</f>
        <v>0</v>
      </c>
      <c r="AG139" s="969"/>
      <c r="AH139" s="519">
        <v>0</v>
      </c>
      <c r="AI139" s="520">
        <v>0</v>
      </c>
      <c r="AJ139" s="521">
        <v>0</v>
      </c>
      <c r="AK139" s="521">
        <v>0</v>
      </c>
      <c r="AL139" s="521">
        <v>0</v>
      </c>
      <c r="AM139" s="367">
        <f t="shared" si="112"/>
        <v>0</v>
      </c>
      <c r="AN139" s="367">
        <f t="shared" si="113"/>
        <v>0</v>
      </c>
      <c r="AO139" s="522">
        <f t="shared" si="114"/>
        <v>0</v>
      </c>
      <c r="AP139" s="522">
        <f t="shared" si="115"/>
        <v>0</v>
      </c>
      <c r="AS139" s="632" t="s">
        <v>676</v>
      </c>
      <c r="AT139" s="633" t="s">
        <v>664</v>
      </c>
    </row>
    <row r="140" spans="1:46">
      <c r="A140" s="802" t="s">
        <v>677</v>
      </c>
      <c r="B140" s="494">
        <v>16</v>
      </c>
      <c r="C140" s="498">
        <v>2</v>
      </c>
      <c r="D140" s="486">
        <f>AF141</f>
        <v>0</v>
      </c>
      <c r="E140" s="488">
        <v>10</v>
      </c>
      <c r="F140" s="488">
        <f>((10*B140)*E136*C140)/1000</f>
        <v>0</v>
      </c>
      <c r="G140" s="488"/>
      <c r="H140" s="488">
        <f>(D140/6)*(0.04*B140)</f>
        <v>0</v>
      </c>
      <c r="I140" s="488">
        <f>C140*(D140+F140+H140)</f>
        <v>0</v>
      </c>
      <c r="J140" s="488">
        <f t="shared" si="116"/>
        <v>1.5802469135802468</v>
      </c>
      <c r="K140" s="489">
        <f t="shared" si="117"/>
        <v>0</v>
      </c>
      <c r="L140" s="54" t="s">
        <v>696</v>
      </c>
      <c r="M140" s="55">
        <v>0.15</v>
      </c>
      <c r="N140" s="505" t="s">
        <v>679</v>
      </c>
      <c r="O140" s="511">
        <f t="shared" ref="O140:AE140" si="119">O136*0.35</f>
        <v>0</v>
      </c>
      <c r="P140" s="511">
        <f t="shared" si="119"/>
        <v>0</v>
      </c>
      <c r="Q140" s="511">
        <f t="shared" si="119"/>
        <v>0</v>
      </c>
      <c r="R140" s="511">
        <f t="shared" si="119"/>
        <v>0</v>
      </c>
      <c r="S140" s="511">
        <f t="shared" si="119"/>
        <v>0</v>
      </c>
      <c r="T140" s="511">
        <f t="shared" si="119"/>
        <v>0</v>
      </c>
      <c r="U140" s="511">
        <f t="shared" si="119"/>
        <v>0</v>
      </c>
      <c r="V140" s="511">
        <f t="shared" si="119"/>
        <v>0</v>
      </c>
      <c r="W140" s="511">
        <f t="shared" si="119"/>
        <v>0</v>
      </c>
      <c r="X140" s="511">
        <f t="shared" si="119"/>
        <v>0</v>
      </c>
      <c r="Y140" s="511">
        <f t="shared" si="119"/>
        <v>0</v>
      </c>
      <c r="Z140" s="511">
        <f t="shared" si="119"/>
        <v>0</v>
      </c>
      <c r="AA140" s="511">
        <f t="shared" si="119"/>
        <v>0</v>
      </c>
      <c r="AB140" s="511">
        <f t="shared" si="119"/>
        <v>0</v>
      </c>
      <c r="AC140" s="511">
        <f t="shared" si="119"/>
        <v>0</v>
      </c>
      <c r="AD140" s="511">
        <f t="shared" si="119"/>
        <v>0</v>
      </c>
      <c r="AE140" s="511">
        <f t="shared" si="119"/>
        <v>0</v>
      </c>
      <c r="AF140" s="502"/>
      <c r="AG140" s="969"/>
      <c r="AH140" s="519">
        <v>0</v>
      </c>
      <c r="AI140" s="520">
        <v>0</v>
      </c>
      <c r="AJ140" s="521">
        <v>0</v>
      </c>
      <c r="AK140" s="521">
        <v>0</v>
      </c>
      <c r="AL140" s="521">
        <v>0</v>
      </c>
      <c r="AM140" s="367">
        <f t="shared" si="112"/>
        <v>0</v>
      </c>
      <c r="AN140" s="367">
        <f t="shared" si="113"/>
        <v>0</v>
      </c>
      <c r="AO140" s="522">
        <f t="shared" si="114"/>
        <v>0</v>
      </c>
      <c r="AP140" s="522">
        <f t="shared" si="115"/>
        <v>0</v>
      </c>
      <c r="AS140" s="632" t="s">
        <v>680</v>
      </c>
      <c r="AT140" s="633" t="s">
        <v>664</v>
      </c>
    </row>
    <row r="141" spans="1:46">
      <c r="A141" s="803">
        <f>M140</f>
        <v>0.15</v>
      </c>
      <c r="B141" s="494">
        <v>6</v>
      </c>
      <c r="C141" s="488">
        <f>(D140/A141)*I136</f>
        <v>0</v>
      </c>
      <c r="D141" s="486">
        <f>M142</f>
        <v>0.88</v>
      </c>
      <c r="E141" s="488"/>
      <c r="F141" s="488"/>
      <c r="G141" s="488"/>
      <c r="H141" s="488"/>
      <c r="I141" s="488">
        <f>D141*C141</f>
        <v>0</v>
      </c>
      <c r="J141" s="488">
        <f t="shared" si="116"/>
        <v>0.22222222222222221</v>
      </c>
      <c r="K141" s="489">
        <f t="shared" si="117"/>
        <v>0</v>
      </c>
      <c r="L141" s="54" t="s">
        <v>697</v>
      </c>
      <c r="M141" s="55">
        <v>0.15</v>
      </c>
      <c r="N141" s="506" t="s">
        <v>681</v>
      </c>
      <c r="O141" s="510">
        <v>0</v>
      </c>
      <c r="P141" s="510">
        <v>0</v>
      </c>
      <c r="Q141" s="510">
        <v>0</v>
      </c>
      <c r="R141" s="510">
        <v>0</v>
      </c>
      <c r="S141" s="510">
        <v>0</v>
      </c>
      <c r="T141" s="510">
        <v>0</v>
      </c>
      <c r="U141" s="510">
        <v>0</v>
      </c>
      <c r="V141" s="510">
        <v>0</v>
      </c>
      <c r="W141" s="510">
        <v>0</v>
      </c>
      <c r="X141" s="510">
        <v>0</v>
      </c>
      <c r="Y141" s="510">
        <v>0</v>
      </c>
      <c r="Z141" s="510">
        <v>0</v>
      </c>
      <c r="AA141" s="510">
        <v>0</v>
      </c>
      <c r="AB141" s="510">
        <v>0</v>
      </c>
      <c r="AC141" s="510">
        <v>0</v>
      </c>
      <c r="AD141" s="510">
        <v>0</v>
      </c>
      <c r="AE141" s="510">
        <v>0</v>
      </c>
      <c r="AF141" s="502">
        <f>SUM(O141:AE141)</f>
        <v>0</v>
      </c>
      <c r="AG141" s="969"/>
      <c r="AH141" s="519">
        <v>0</v>
      </c>
      <c r="AI141" s="520">
        <v>0</v>
      </c>
      <c r="AJ141" s="521">
        <v>0</v>
      </c>
      <c r="AK141" s="521">
        <v>0</v>
      </c>
      <c r="AL141" s="521">
        <v>0</v>
      </c>
      <c r="AM141" s="367">
        <f t="shared" si="112"/>
        <v>0</v>
      </c>
      <c r="AN141" s="367">
        <f t="shared" si="113"/>
        <v>0</v>
      </c>
      <c r="AO141" s="522">
        <f t="shared" si="114"/>
        <v>0</v>
      </c>
      <c r="AP141" s="522">
        <f t="shared" si="115"/>
        <v>0</v>
      </c>
      <c r="AS141" s="632" t="s">
        <v>682</v>
      </c>
      <c r="AT141" s="633" t="s">
        <v>664</v>
      </c>
    </row>
    <row r="142" spans="1:46">
      <c r="A142" s="490">
        <f>M141</f>
        <v>0.15</v>
      </c>
      <c r="B142" s="495">
        <v>6</v>
      </c>
      <c r="C142" s="491">
        <f>((B136-D140)/A142)*J136</f>
        <v>0</v>
      </c>
      <c r="D142" s="487">
        <f>M142</f>
        <v>0.88</v>
      </c>
      <c r="E142" s="491"/>
      <c r="F142" s="491"/>
      <c r="G142" s="491"/>
      <c r="H142" s="491"/>
      <c r="I142" s="491">
        <f>D142*C142</f>
        <v>0</v>
      </c>
      <c r="J142" s="491">
        <f t="shared" si="116"/>
        <v>0.22222222222222221</v>
      </c>
      <c r="K142" s="492">
        <f t="shared" si="117"/>
        <v>0</v>
      </c>
      <c r="L142" s="337" t="s">
        <v>698</v>
      </c>
      <c r="M142" s="338">
        <f>AP136</f>
        <v>0.88</v>
      </c>
      <c r="N142" s="507"/>
      <c r="O142" s="508"/>
      <c r="P142" s="508"/>
      <c r="Q142" s="508"/>
      <c r="R142" s="508"/>
      <c r="S142" s="508"/>
      <c r="T142" s="508"/>
      <c r="U142" s="508"/>
      <c r="V142" s="508"/>
      <c r="W142" s="508"/>
      <c r="X142" s="508"/>
      <c r="Y142" s="508"/>
      <c r="Z142" s="508"/>
      <c r="AA142" s="508"/>
      <c r="AB142" s="508"/>
      <c r="AC142" s="508"/>
      <c r="AD142" s="508"/>
      <c r="AE142" s="508"/>
      <c r="AF142" s="509"/>
      <c r="AG142" s="969"/>
      <c r="AH142" s="519">
        <v>0</v>
      </c>
      <c r="AI142" s="520">
        <v>0</v>
      </c>
      <c r="AJ142" s="521">
        <v>0</v>
      </c>
      <c r="AK142" s="521">
        <v>0</v>
      </c>
      <c r="AL142" s="521">
        <v>0</v>
      </c>
      <c r="AM142" s="367">
        <f t="shared" si="112"/>
        <v>0</v>
      </c>
      <c r="AN142" s="367">
        <f t="shared" si="113"/>
        <v>0</v>
      </c>
      <c r="AO142" s="522">
        <f t="shared" si="114"/>
        <v>0</v>
      </c>
      <c r="AP142" s="522">
        <f t="shared" si="115"/>
        <v>0</v>
      </c>
      <c r="AS142" s="632" t="s">
        <v>699</v>
      </c>
      <c r="AT142" s="633" t="s">
        <v>664</v>
      </c>
    </row>
    <row r="143" spans="1:46">
      <c r="A143" s="512"/>
      <c r="B143" s="513"/>
      <c r="C143" s="513"/>
      <c r="D143" s="514"/>
      <c r="E143" s="513"/>
      <c r="F143" s="513"/>
      <c r="G143" s="513"/>
      <c r="H143" s="513"/>
      <c r="I143" s="513"/>
      <c r="J143" s="513"/>
      <c r="K143" s="513"/>
      <c r="L143" s="515"/>
      <c r="M143" s="516"/>
      <c r="N143" s="515"/>
      <c r="O143" s="515"/>
      <c r="P143" s="515"/>
      <c r="Q143" s="515"/>
      <c r="R143" s="515"/>
      <c r="S143" s="515"/>
      <c r="T143" s="515"/>
      <c r="U143" s="515"/>
      <c r="V143" s="515"/>
      <c r="W143" s="515"/>
      <c r="X143" s="515"/>
      <c r="Y143" s="515"/>
      <c r="Z143" s="515"/>
      <c r="AA143" s="515"/>
      <c r="AB143" s="515"/>
      <c r="AC143" s="515"/>
      <c r="AD143" s="515"/>
      <c r="AE143" s="515"/>
      <c r="AF143" s="517"/>
      <c r="AG143" s="970"/>
      <c r="AH143" s="543">
        <v>0</v>
      </c>
      <c r="AI143" s="523">
        <v>0</v>
      </c>
      <c r="AJ143" s="524">
        <v>0</v>
      </c>
      <c r="AK143" s="524">
        <v>0</v>
      </c>
      <c r="AL143" s="524">
        <v>0</v>
      </c>
      <c r="AM143" s="525">
        <f t="shared" si="112"/>
        <v>0</v>
      </c>
      <c r="AN143" s="525">
        <f t="shared" si="113"/>
        <v>0</v>
      </c>
      <c r="AO143" s="526">
        <f t="shared" si="114"/>
        <v>0</v>
      </c>
      <c r="AP143" s="526">
        <f t="shared" si="115"/>
        <v>0</v>
      </c>
      <c r="AS143" s="499"/>
      <c r="AT143" s="500"/>
    </row>
    <row r="144" spans="1:46">
      <c r="A144" s="35"/>
      <c r="B144" s="36"/>
      <c r="C144" s="36"/>
      <c r="D144" s="37"/>
      <c r="E144" s="36"/>
      <c r="F144" s="36"/>
      <c r="G144" s="36"/>
      <c r="H144" s="36"/>
      <c r="I144" s="36"/>
      <c r="J144" s="36"/>
      <c r="K144" s="36"/>
      <c r="L144" s="24"/>
      <c r="M144" s="50"/>
      <c r="N144" s="518"/>
      <c r="O144" s="35"/>
      <c r="P144" s="35"/>
      <c r="Q144" s="35"/>
      <c r="R144" s="35"/>
      <c r="S144" s="35"/>
      <c r="T144" s="35"/>
      <c r="U144" s="35"/>
      <c r="V144" s="35"/>
      <c r="W144" s="35"/>
      <c r="X144" s="35"/>
      <c r="Y144" s="35"/>
      <c r="Z144" s="35"/>
      <c r="AA144" s="35"/>
      <c r="AB144" s="35"/>
      <c r="AC144" s="35"/>
      <c r="AD144" s="35"/>
      <c r="AE144" s="35"/>
      <c r="AF144" s="38"/>
      <c r="AG144" s="663"/>
      <c r="AH144" s="24"/>
      <c r="AI144" s="24"/>
      <c r="AJ144" s="24"/>
      <c r="AK144" s="24"/>
      <c r="AL144" s="24"/>
      <c r="AM144" s="24"/>
      <c r="AN144" s="24"/>
      <c r="AO144" s="24"/>
      <c r="AP144" s="24"/>
      <c r="AQ144" s="24"/>
      <c r="AR144" s="24"/>
    </row>
    <row r="145" spans="1:44">
      <c r="A145" s="35"/>
      <c r="B145" s="36"/>
      <c r="C145" s="36"/>
      <c r="D145" s="37"/>
      <c r="E145" s="36"/>
      <c r="F145" s="1003" t="s">
        <v>684</v>
      </c>
      <c r="G145" s="1004"/>
      <c r="H145" s="998" t="s">
        <v>685</v>
      </c>
      <c r="I145" s="1000"/>
      <c r="J145" s="501" t="s">
        <v>686</v>
      </c>
      <c r="K145" s="36"/>
      <c r="L145" s="24"/>
      <c r="M145" s="50"/>
      <c r="N145" s="518"/>
      <c r="O145" s="35"/>
      <c r="P145" s="35"/>
      <c r="Q145" s="35"/>
      <c r="R145" s="35"/>
      <c r="S145" s="35"/>
      <c r="T145" s="35"/>
      <c r="U145" s="35"/>
      <c r="V145" s="35"/>
      <c r="W145" s="35"/>
      <c r="X145" s="35"/>
      <c r="Y145" s="35"/>
      <c r="Z145" s="35"/>
      <c r="AA145" s="35"/>
      <c r="AB145" s="35"/>
      <c r="AC145" s="35"/>
      <c r="AD145" s="35"/>
      <c r="AE145" s="35"/>
      <c r="AF145" s="38"/>
      <c r="AG145" s="24"/>
      <c r="AH145" s="24"/>
      <c r="AI145" s="24"/>
      <c r="AJ145" s="24"/>
      <c r="AK145" s="24"/>
      <c r="AL145" s="24"/>
      <c r="AM145" s="24"/>
      <c r="AN145" s="24"/>
      <c r="AO145" s="24"/>
      <c r="AP145" s="24"/>
      <c r="AQ145" s="24"/>
      <c r="AR145" s="24"/>
    </row>
    <row r="146" spans="1:44">
      <c r="A146" s="35"/>
      <c r="B146" s="36"/>
      <c r="C146" s="36"/>
      <c r="D146" s="37"/>
      <c r="E146" s="36"/>
      <c r="F146" s="1005"/>
      <c r="G146" s="1006"/>
      <c r="H146" s="799">
        <v>6</v>
      </c>
      <c r="I146" s="804">
        <f t="shared" ref="I146:I151" si="120">SUMIF($B$128:$B$143,H146,$K$128:$K$143)</f>
        <v>1.7208888888888892E-2</v>
      </c>
      <c r="J146" s="799">
        <f>I146*1000</f>
        <v>17.208888888888893</v>
      </c>
      <c r="K146" s="36"/>
      <c r="L146" s="24"/>
      <c r="M146" s="50"/>
      <c r="N146" s="24"/>
      <c r="O146" s="24"/>
      <c r="P146" s="24"/>
      <c r="Q146" s="24"/>
      <c r="R146" s="24"/>
      <c r="S146" s="24"/>
      <c r="T146" s="24"/>
      <c r="U146" s="24"/>
      <c r="V146" s="24"/>
      <c r="W146" s="24"/>
      <c r="X146" s="24"/>
      <c r="Y146" s="24"/>
      <c r="Z146" s="24"/>
      <c r="AA146" s="24"/>
      <c r="AB146" s="24"/>
      <c r="AC146" s="24"/>
      <c r="AD146" s="24"/>
      <c r="AE146" s="24"/>
      <c r="AF146" s="24"/>
      <c r="AG146" s="24"/>
      <c r="AH146" s="24"/>
      <c r="AI146" s="24"/>
      <c r="AJ146" s="24"/>
      <c r="AK146" s="24"/>
      <c r="AL146" s="24"/>
      <c r="AM146" s="24"/>
      <c r="AN146" s="24"/>
      <c r="AO146" s="24"/>
      <c r="AP146" s="24"/>
      <c r="AQ146" s="24"/>
      <c r="AR146" s="24"/>
    </row>
    <row r="147" spans="1:44">
      <c r="A147" s="35"/>
      <c r="B147" s="36"/>
      <c r="C147" s="36"/>
      <c r="D147" s="37"/>
      <c r="E147" s="36"/>
      <c r="F147" s="1005"/>
      <c r="G147" s="1006"/>
      <c r="H147" s="799">
        <v>10</v>
      </c>
      <c r="I147" s="804">
        <f t="shared" si="120"/>
        <v>0</v>
      </c>
      <c r="J147" s="799">
        <f t="shared" ref="J147:J151" si="121">I147*1000</f>
        <v>0</v>
      </c>
      <c r="K147" s="36"/>
      <c r="L147" s="24"/>
      <c r="M147" s="50"/>
      <c r="N147" s="24"/>
      <c r="O147" s="24"/>
      <c r="P147" s="24"/>
      <c r="Q147" s="24"/>
      <c r="R147" s="24"/>
      <c r="S147" s="24"/>
      <c r="T147" s="24"/>
      <c r="U147" s="24"/>
      <c r="V147" s="24"/>
      <c r="W147" s="24"/>
      <c r="X147" s="24"/>
      <c r="Y147" s="24"/>
      <c r="Z147" s="24"/>
      <c r="AA147" s="24"/>
      <c r="AB147" s="24"/>
      <c r="AC147" s="24"/>
      <c r="AD147" s="24"/>
      <c r="AE147" s="24"/>
      <c r="AF147" s="24"/>
      <c r="AG147" s="24"/>
      <c r="AH147" s="24"/>
      <c r="AI147" s="24"/>
      <c r="AJ147" s="24"/>
      <c r="AK147" s="24"/>
      <c r="AL147" s="24"/>
      <c r="AM147" s="24"/>
      <c r="AN147" s="24"/>
      <c r="AO147" s="24"/>
      <c r="AP147" s="24"/>
      <c r="AQ147" s="24"/>
      <c r="AR147" s="24"/>
    </row>
    <row r="148" spans="1:44">
      <c r="A148" s="35"/>
      <c r="B148" s="36"/>
      <c r="C148" s="36"/>
      <c r="D148" s="37"/>
      <c r="E148" s="36"/>
      <c r="F148" s="1005"/>
      <c r="G148" s="1006"/>
      <c r="H148" s="799">
        <v>12</v>
      </c>
      <c r="I148" s="804">
        <f t="shared" si="120"/>
        <v>0</v>
      </c>
      <c r="J148" s="799">
        <f t="shared" si="121"/>
        <v>0</v>
      </c>
      <c r="K148" s="36"/>
      <c r="L148" s="24"/>
      <c r="M148" s="50"/>
      <c r="N148" s="24"/>
      <c r="O148" s="24"/>
      <c r="P148" s="24"/>
      <c r="Q148" s="24"/>
      <c r="R148" s="24"/>
      <c r="S148" s="24"/>
      <c r="T148" s="24"/>
      <c r="U148" s="24"/>
      <c r="V148" s="24"/>
      <c r="W148" s="24"/>
      <c r="X148" s="24"/>
      <c r="Y148" s="24"/>
      <c r="Z148" s="24"/>
      <c r="AA148" s="24"/>
      <c r="AB148" s="24"/>
      <c r="AC148" s="24"/>
      <c r="AD148" s="24"/>
      <c r="AE148" s="24"/>
      <c r="AF148" s="24"/>
      <c r="AG148" s="24"/>
      <c r="AH148" s="24"/>
      <c r="AI148" s="24"/>
      <c r="AJ148" s="24"/>
      <c r="AK148" s="24"/>
      <c r="AL148" s="24"/>
      <c r="AM148" s="24"/>
      <c r="AN148" s="24"/>
      <c r="AO148" s="24"/>
      <c r="AP148" s="24"/>
      <c r="AQ148" s="24"/>
      <c r="AR148" s="24"/>
    </row>
    <row r="149" spans="1:44">
      <c r="A149" s="35"/>
      <c r="B149" s="36"/>
      <c r="C149" s="36"/>
      <c r="D149" s="37"/>
      <c r="E149" s="36"/>
      <c r="F149" s="1005"/>
      <c r="G149" s="1006"/>
      <c r="H149" s="799">
        <v>16</v>
      </c>
      <c r="I149" s="804">
        <f t="shared" si="120"/>
        <v>6.9724707818930032E-2</v>
      </c>
      <c r="J149" s="799">
        <f t="shared" si="121"/>
        <v>69.724707818930028</v>
      </c>
      <c r="K149" s="36"/>
      <c r="L149" s="24"/>
      <c r="M149" s="50"/>
      <c r="N149" s="24"/>
      <c r="O149" s="24"/>
      <c r="P149" s="24"/>
      <c r="Q149" s="24"/>
      <c r="R149" s="24"/>
      <c r="S149" s="24"/>
      <c r="T149" s="24"/>
      <c r="U149" s="24"/>
      <c r="V149" s="24"/>
      <c r="W149" s="24"/>
      <c r="X149" s="24"/>
      <c r="Y149" s="24"/>
      <c r="Z149" s="24"/>
      <c r="AA149" s="24"/>
      <c r="AB149" s="24"/>
      <c r="AC149" s="24"/>
      <c r="AD149" s="24"/>
      <c r="AE149" s="24"/>
      <c r="AF149" s="24"/>
      <c r="AG149" s="24"/>
      <c r="AH149" s="24"/>
      <c r="AI149" s="24"/>
      <c r="AJ149" s="24"/>
      <c r="AK149" s="24"/>
      <c r="AL149" s="24"/>
      <c r="AM149" s="24"/>
      <c r="AN149" s="24"/>
      <c r="AO149" s="24"/>
      <c r="AP149" s="24"/>
      <c r="AQ149" s="24"/>
      <c r="AR149" s="24"/>
    </row>
    <row r="150" spans="1:44">
      <c r="A150" s="35"/>
      <c r="B150" s="36"/>
      <c r="C150" s="36"/>
      <c r="D150" s="37"/>
      <c r="E150" s="36"/>
      <c r="F150" s="1005"/>
      <c r="G150" s="1006"/>
      <c r="H150" s="799">
        <v>20</v>
      </c>
      <c r="I150" s="804">
        <f t="shared" si="120"/>
        <v>0</v>
      </c>
      <c r="J150" s="799">
        <f t="shared" si="121"/>
        <v>0</v>
      </c>
      <c r="K150" s="36"/>
      <c r="L150" s="24"/>
      <c r="M150" s="50"/>
      <c r="N150" s="24"/>
      <c r="O150" s="24"/>
      <c r="P150" s="24"/>
      <c r="Q150" s="24"/>
      <c r="R150" s="24"/>
      <c r="S150" s="24"/>
      <c r="T150" s="24"/>
      <c r="U150" s="24"/>
      <c r="V150" s="24"/>
      <c r="W150" s="24"/>
      <c r="X150" s="24"/>
      <c r="Y150" s="24"/>
      <c r="Z150" s="24"/>
      <c r="AA150" s="24"/>
      <c r="AB150" s="24"/>
      <c r="AC150" s="24"/>
      <c r="AD150" s="24"/>
      <c r="AE150" s="24"/>
      <c r="AF150" s="24"/>
      <c r="AG150" s="24"/>
      <c r="AH150" s="24"/>
      <c r="AI150" s="24"/>
      <c r="AJ150" s="24"/>
      <c r="AK150" s="24"/>
      <c r="AL150" s="24"/>
      <c r="AM150" s="24"/>
      <c r="AN150" s="24"/>
      <c r="AO150" s="24"/>
      <c r="AP150" s="24"/>
      <c r="AQ150" s="24"/>
      <c r="AR150" s="24"/>
    </row>
    <row r="151" spans="1:44">
      <c r="A151" s="35"/>
      <c r="B151" s="36"/>
      <c r="C151" s="36"/>
      <c r="D151" s="37"/>
      <c r="E151" s="36"/>
      <c r="F151" s="1005"/>
      <c r="G151" s="1006"/>
      <c r="H151" s="799">
        <v>25</v>
      </c>
      <c r="I151" s="804">
        <f t="shared" si="120"/>
        <v>0</v>
      </c>
      <c r="J151" s="799">
        <f t="shared" si="121"/>
        <v>0</v>
      </c>
      <c r="K151" s="36"/>
      <c r="L151" s="24"/>
      <c r="M151" s="50"/>
      <c r="N151" s="24"/>
      <c r="O151" s="24"/>
      <c r="P151" s="24"/>
      <c r="Q151" s="24"/>
      <c r="R151" s="24"/>
      <c r="S151" s="24"/>
      <c r="T151" s="24"/>
      <c r="U151" s="24"/>
      <c r="V151" s="24"/>
      <c r="W151" s="24"/>
      <c r="X151" s="24"/>
      <c r="Y151" s="24"/>
      <c r="Z151" s="24"/>
      <c r="AA151" s="24"/>
      <c r="AB151" s="24"/>
      <c r="AC151" s="24"/>
      <c r="AD151" s="24"/>
      <c r="AE151" s="24"/>
      <c r="AF151" s="24"/>
      <c r="AG151" s="24"/>
      <c r="AH151" s="24"/>
      <c r="AI151" s="24"/>
      <c r="AJ151" s="24"/>
      <c r="AK151" s="24"/>
      <c r="AL151" s="24"/>
      <c r="AM151" s="24"/>
      <c r="AN151" s="24"/>
      <c r="AO151" s="24"/>
      <c r="AP151" s="24"/>
      <c r="AQ151" s="24"/>
      <c r="AR151" s="24"/>
    </row>
    <row r="152" spans="1:44">
      <c r="A152" s="35"/>
      <c r="B152" s="36"/>
      <c r="C152" s="36"/>
      <c r="D152" s="37"/>
      <c r="E152" s="36"/>
      <c r="F152" s="998" t="s">
        <v>572</v>
      </c>
      <c r="G152" s="999"/>
      <c r="H152" s="1000"/>
      <c r="I152" s="501">
        <f>SUM(I146:I151)</f>
        <v>8.6933596707818916E-2</v>
      </c>
      <c r="J152" s="501">
        <f>SUM(J146:J151)</f>
        <v>86.933596707818921</v>
      </c>
      <c r="K152" s="36"/>
      <c r="L152" s="24"/>
      <c r="M152" s="50"/>
      <c r="N152" s="24"/>
      <c r="O152" s="24"/>
      <c r="P152" s="24"/>
      <c r="Q152" s="24"/>
      <c r="R152" s="24"/>
      <c r="S152" s="24"/>
      <c r="T152" s="24"/>
      <c r="U152" s="24"/>
      <c r="V152" s="24"/>
      <c r="W152" s="24"/>
      <c r="X152" s="24"/>
      <c r="Y152" s="24"/>
      <c r="Z152" s="24"/>
      <c r="AA152" s="24"/>
      <c r="AB152" s="24"/>
      <c r="AC152" s="24"/>
      <c r="AD152" s="24"/>
      <c r="AE152" s="24"/>
      <c r="AF152" s="24"/>
      <c r="AG152" s="24"/>
      <c r="AH152" s="24"/>
      <c r="AI152" s="24"/>
      <c r="AJ152" s="24"/>
      <c r="AK152" s="24"/>
      <c r="AL152" s="24"/>
      <c r="AM152" s="24"/>
      <c r="AN152" s="24"/>
      <c r="AO152" s="24"/>
      <c r="AP152" s="24"/>
      <c r="AQ152" s="24"/>
      <c r="AR152" s="24"/>
    </row>
  </sheetData>
  <mergeCells count="35">
    <mergeCell ref="F152:H152"/>
    <mergeCell ref="G42:H42"/>
    <mergeCell ref="L42:M42"/>
    <mergeCell ref="N42:AF42"/>
    <mergeCell ref="AG44:AG51"/>
    <mergeCell ref="AG53:AG60"/>
    <mergeCell ref="F115:G121"/>
    <mergeCell ref="H115:I115"/>
    <mergeCell ref="F122:H122"/>
    <mergeCell ref="G125:H125"/>
    <mergeCell ref="F145:G151"/>
    <mergeCell ref="H145:I145"/>
    <mergeCell ref="AG89:AG96"/>
    <mergeCell ref="AG98:AG105"/>
    <mergeCell ref="AG107:AG114"/>
    <mergeCell ref="AG62:AG69"/>
    <mergeCell ref="B1:D1"/>
    <mergeCell ref="N2:AF2"/>
    <mergeCell ref="L2:M2"/>
    <mergeCell ref="G2:H2"/>
    <mergeCell ref="AG3:AG5"/>
    <mergeCell ref="A11:K11"/>
    <mergeCell ref="H31:I31"/>
    <mergeCell ref="F38:H38"/>
    <mergeCell ref="F31:G37"/>
    <mergeCell ref="AG12:AG14"/>
    <mergeCell ref="A20:K20"/>
    <mergeCell ref="AG21:AG23"/>
    <mergeCell ref="A29:K29"/>
    <mergeCell ref="AG136:AG143"/>
    <mergeCell ref="AG71:AG78"/>
    <mergeCell ref="AG80:AG87"/>
    <mergeCell ref="L125:M125"/>
    <mergeCell ref="N125:AF125"/>
    <mergeCell ref="AG127:AG134"/>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C00000"/>
  </sheetPr>
  <dimension ref="A1:Y121"/>
  <sheetViews>
    <sheetView zoomScaleNormal="100" workbookViewId="0">
      <selection activeCell="A33" sqref="A33:G33"/>
    </sheetView>
  </sheetViews>
  <sheetFormatPr defaultRowHeight="12.75"/>
  <cols>
    <col min="1" max="1" width="9.140625" style="10" customWidth="1"/>
    <col min="2" max="2" width="9.140625" style="8"/>
    <col min="3" max="3" width="9.7109375" style="8" customWidth="1"/>
    <col min="4" max="4" width="18.28515625" style="10" customWidth="1"/>
    <col min="5" max="5" width="11" style="8" customWidth="1"/>
    <col min="6" max="6" width="2" style="8" customWidth="1"/>
    <col min="7" max="7" width="11.140625" style="8" customWidth="1"/>
    <col min="8" max="8" width="13.5703125" style="8" customWidth="1"/>
    <col min="9" max="9" width="11.7109375" style="8" customWidth="1"/>
    <col min="10" max="10" width="10.85546875" style="8" customWidth="1"/>
    <col min="11" max="11" width="15.85546875" style="20" customWidth="1"/>
    <col min="12" max="12" width="12.7109375" style="10" customWidth="1"/>
    <col min="13" max="14" width="9.140625" style="10"/>
    <col min="15" max="15" width="9.140625" style="8"/>
    <col min="16" max="16" width="10.7109375" style="8" customWidth="1"/>
    <col min="17" max="17" width="9.7109375" style="8" customWidth="1"/>
    <col min="18" max="18" width="9.140625" style="8" customWidth="1"/>
    <col min="19" max="19" width="9.140625" style="8"/>
    <col min="20" max="20" width="9.42578125" style="8" customWidth="1"/>
    <col min="21" max="21" width="10.7109375" style="8" customWidth="1"/>
    <col min="22" max="22" width="10.85546875" style="8" customWidth="1"/>
    <col min="23" max="23" width="11.42578125" style="8" customWidth="1"/>
    <col min="24" max="24" width="11.28515625" style="8" customWidth="1"/>
    <col min="25" max="25" width="13.140625" style="8" customWidth="1"/>
    <col min="26" max="16384" width="9.140625" style="8"/>
  </cols>
  <sheetData>
    <row r="1" spans="1:25">
      <c r="A1" s="1023" t="s">
        <v>705</v>
      </c>
      <c r="B1" s="1023"/>
      <c r="C1" s="1023"/>
      <c r="D1" s="1023"/>
      <c r="E1" s="1023"/>
      <c r="F1" s="1023"/>
      <c r="G1" s="1023"/>
      <c r="H1" s="1023"/>
      <c r="I1" s="1023"/>
      <c r="J1" s="1023"/>
      <c r="K1" s="1023"/>
      <c r="L1" s="1023"/>
      <c r="M1" s="1023"/>
    </row>
    <row r="2" spans="1:25" ht="13.5" thickBot="1"/>
    <row r="3" spans="1:25" ht="13.5" thickBot="1">
      <c r="A3" s="1015" t="s">
        <v>706</v>
      </c>
      <c r="B3" s="1016"/>
      <c r="C3" s="1016"/>
      <c r="D3" s="564"/>
      <c r="E3" s="312"/>
      <c r="F3" s="312"/>
      <c r="G3" s="312"/>
      <c r="H3" s="312"/>
      <c r="I3" s="312"/>
      <c r="J3" s="312"/>
      <c r="K3" s="565"/>
      <c r="L3" s="564"/>
      <c r="M3" s="564"/>
      <c r="N3" s="564"/>
      <c r="O3" s="312"/>
      <c r="P3" s="312"/>
      <c r="Q3" s="312"/>
      <c r="R3" s="312"/>
      <c r="S3" s="312"/>
      <c r="T3" s="312"/>
      <c r="U3" s="312"/>
      <c r="V3" s="312"/>
      <c r="W3" s="312"/>
      <c r="X3" s="312"/>
      <c r="Y3" s="566"/>
    </row>
    <row r="5" spans="1:25" s="56" customFormat="1" ht="15" customHeight="1">
      <c r="A5" s="805" t="s">
        <v>707</v>
      </c>
      <c r="B5" s="806" t="s">
        <v>708</v>
      </c>
      <c r="C5" s="806" t="s">
        <v>709</v>
      </c>
      <c r="D5" s="806" t="s">
        <v>710</v>
      </c>
      <c r="E5" s="1017" t="s">
        <v>667</v>
      </c>
      <c r="F5" s="1018"/>
      <c r="G5" s="806" t="s">
        <v>711</v>
      </c>
      <c r="H5" s="806" t="s">
        <v>712</v>
      </c>
      <c r="I5" s="806" t="s">
        <v>713</v>
      </c>
      <c r="J5" s="806" t="s">
        <v>714</v>
      </c>
      <c r="K5" s="808" t="s">
        <v>715</v>
      </c>
      <c r="L5" s="1020"/>
      <c r="M5" s="1021"/>
      <c r="N5" s="1021"/>
      <c r="O5" s="1021"/>
      <c r="P5" s="1021"/>
      <c r="Q5" s="1021"/>
      <c r="R5" s="1021"/>
      <c r="S5" s="1021"/>
      <c r="T5" s="1021"/>
      <c r="U5" s="1021"/>
      <c r="V5" s="1021"/>
      <c r="W5" s="1021"/>
      <c r="X5" s="1021"/>
      <c r="Y5" s="1022"/>
    </row>
    <row r="6" spans="1:25" s="56" customFormat="1" ht="15" customHeight="1">
      <c r="A6" s="562" t="str">
        <f>M6</f>
        <v>C1</v>
      </c>
      <c r="B6" s="806" t="s">
        <v>383</v>
      </c>
      <c r="C6" s="806">
        <f>O8</f>
        <v>1.7999999999999998</v>
      </c>
      <c r="D6" s="806" t="s">
        <v>716</v>
      </c>
      <c r="E6" s="809">
        <f>O6</f>
        <v>200</v>
      </c>
      <c r="F6" s="810" t="s">
        <v>666</v>
      </c>
      <c r="G6" s="811">
        <f>O7</f>
        <v>350</v>
      </c>
      <c r="H6" s="812" t="s">
        <v>717</v>
      </c>
      <c r="I6" s="807">
        <f>M7</f>
        <v>3</v>
      </c>
      <c r="J6" s="1019"/>
      <c r="K6" s="1019"/>
      <c r="L6" s="813" t="s">
        <v>452</v>
      </c>
      <c r="M6" s="814" t="s">
        <v>423</v>
      </c>
      <c r="N6" s="815" t="s">
        <v>384</v>
      </c>
      <c r="O6" s="816">
        <v>200</v>
      </c>
      <c r="P6" s="817" t="s">
        <v>382</v>
      </c>
      <c r="Q6" s="817" t="s">
        <v>654</v>
      </c>
      <c r="R6" s="817" t="s">
        <v>384</v>
      </c>
      <c r="S6" s="817" t="s">
        <v>385</v>
      </c>
      <c r="T6" s="817" t="s">
        <v>655</v>
      </c>
      <c r="U6" s="817" t="s">
        <v>656</v>
      </c>
      <c r="V6" s="817" t="s">
        <v>657</v>
      </c>
      <c r="W6" s="817" t="s">
        <v>658</v>
      </c>
      <c r="X6" s="817" t="s">
        <v>659</v>
      </c>
      <c r="Y6" s="817" t="s">
        <v>678</v>
      </c>
    </row>
    <row r="7" spans="1:25" s="56" customFormat="1" ht="15" customHeight="1">
      <c r="A7" s="1007"/>
      <c r="B7" s="610">
        <v>16</v>
      </c>
      <c r="C7" s="612">
        <v>3</v>
      </c>
      <c r="D7" s="546">
        <f>C6*C7*I6</f>
        <v>16.2</v>
      </c>
      <c r="E7" s="545">
        <v>0</v>
      </c>
      <c r="F7" s="546"/>
      <c r="G7" s="544">
        <f>D7+E7</f>
        <v>16.2</v>
      </c>
      <c r="H7" s="547">
        <f>((C6/6)*(45*B7)*(I6*C7))/1000</f>
        <v>1.944</v>
      </c>
      <c r="I7" s="548">
        <f>(G7+H7)</f>
        <v>18.143999999999998</v>
      </c>
      <c r="J7" s="549">
        <f>B7*B7/162</f>
        <v>1.5802469135802468</v>
      </c>
      <c r="K7" s="607">
        <f>I7*J7</f>
        <v>28.671999999999997</v>
      </c>
      <c r="L7" s="813" t="s">
        <v>718</v>
      </c>
      <c r="M7" s="814">
        <v>3</v>
      </c>
      <c r="N7" s="815" t="s">
        <v>385</v>
      </c>
      <c r="O7" s="816">
        <v>350</v>
      </c>
      <c r="P7" s="1012" t="str">
        <f>M6</f>
        <v>C1</v>
      </c>
      <c r="Q7" s="818">
        <f>B9</f>
        <v>6</v>
      </c>
      <c r="R7" s="819">
        <f>O6</f>
        <v>200</v>
      </c>
      <c r="S7" s="819">
        <f>O7</f>
        <v>350</v>
      </c>
      <c r="T7" s="819">
        <v>40</v>
      </c>
      <c r="U7" s="820">
        <f t="shared" ref="U7:U8" si="0">R7-(2*T7)</f>
        <v>120</v>
      </c>
      <c r="V7" s="820">
        <f>S7-(2*T7)</f>
        <v>270</v>
      </c>
      <c r="W7" s="821">
        <f t="shared" ref="W7:W8" si="1">2*(U7+V7)+(2*10*Q7)-(5*2*Q7)</f>
        <v>840</v>
      </c>
      <c r="X7" s="822">
        <f t="shared" ref="X7:X8" si="2">W7/1000</f>
        <v>0.84</v>
      </c>
      <c r="Y7" s="823">
        <f>SUM(X7:X9)</f>
        <v>1.46</v>
      </c>
    </row>
    <row r="8" spans="1:25" s="56" customFormat="1" ht="15" customHeight="1">
      <c r="A8" s="1008"/>
      <c r="B8" s="610">
        <v>16</v>
      </c>
      <c r="C8" s="612">
        <v>3</v>
      </c>
      <c r="D8" s="552">
        <f>C6*C8*I6</f>
        <v>16.2</v>
      </c>
      <c r="E8" s="551">
        <v>0</v>
      </c>
      <c r="F8" s="552"/>
      <c r="G8" s="550">
        <f>D8+E8</f>
        <v>16.2</v>
      </c>
      <c r="H8" s="553">
        <f>((C6/6)*(45*B8)*(I6*C8))/1000</f>
        <v>1.944</v>
      </c>
      <c r="I8" s="554">
        <f>(G8+H8)</f>
        <v>18.143999999999998</v>
      </c>
      <c r="J8" s="555">
        <f>B8*B8/162</f>
        <v>1.5802469135802468</v>
      </c>
      <c r="K8" s="608">
        <f>I8*J8</f>
        <v>28.671999999999997</v>
      </c>
      <c r="L8" s="813" t="s">
        <v>719</v>
      </c>
      <c r="M8" s="824">
        <v>7</v>
      </c>
      <c r="N8" s="815" t="s">
        <v>383</v>
      </c>
      <c r="O8" s="816">
        <f>1.4+0.4</f>
        <v>1.7999999999999998</v>
      </c>
      <c r="P8" s="1013"/>
      <c r="Q8" s="818">
        <f>B9</f>
        <v>6</v>
      </c>
      <c r="R8" s="819">
        <f>R7</f>
        <v>200</v>
      </c>
      <c r="S8" s="825">
        <v>160</v>
      </c>
      <c r="T8" s="819">
        <v>40</v>
      </c>
      <c r="U8" s="820">
        <f t="shared" si="0"/>
        <v>120</v>
      </c>
      <c r="V8" s="820">
        <f>S8</f>
        <v>160</v>
      </c>
      <c r="W8" s="821">
        <f t="shared" si="1"/>
        <v>620</v>
      </c>
      <c r="X8" s="822">
        <f t="shared" si="2"/>
        <v>0.62</v>
      </c>
      <c r="Y8" s="826"/>
    </row>
    <row r="9" spans="1:25" s="56" customFormat="1" ht="15" customHeight="1">
      <c r="A9" s="1009"/>
      <c r="B9" s="610">
        <v>6</v>
      </c>
      <c r="C9" s="611">
        <f>M8</f>
        <v>7</v>
      </c>
      <c r="D9" s="563">
        <f>Y7</f>
        <v>1.46</v>
      </c>
      <c r="E9" s="557">
        <v>0</v>
      </c>
      <c r="F9" s="558"/>
      <c r="G9" s="556">
        <f>D9*C9*I6</f>
        <v>30.659999999999997</v>
      </c>
      <c r="H9" s="559"/>
      <c r="I9" s="560">
        <f>G9</f>
        <v>30.659999999999997</v>
      </c>
      <c r="J9" s="561">
        <f>B9*B9/162</f>
        <v>0.22222222222222221</v>
      </c>
      <c r="K9" s="609">
        <f>I9*J9</f>
        <v>6.8133333333333326</v>
      </c>
      <c r="L9" s="813" t="s">
        <v>678</v>
      </c>
      <c r="M9" s="827">
        <f>Y7</f>
        <v>1.46</v>
      </c>
      <c r="N9" s="828"/>
      <c r="O9" s="829"/>
      <c r="P9" s="1014"/>
      <c r="Q9" s="818"/>
      <c r="R9" s="819"/>
      <c r="S9" s="819"/>
      <c r="T9" s="819"/>
      <c r="U9" s="820"/>
      <c r="V9" s="820"/>
      <c r="W9" s="821"/>
      <c r="X9" s="822"/>
      <c r="Y9" s="826"/>
    </row>
    <row r="10" spans="1:25" s="56" customFormat="1" ht="15" customHeight="1">
      <c r="A10" s="19"/>
      <c r="B10" s="57"/>
      <c r="C10" s="19"/>
      <c r="D10" s="19"/>
      <c r="K10" s="58"/>
      <c r="L10" s="19"/>
      <c r="M10" s="19"/>
      <c r="N10" s="19"/>
    </row>
    <row r="11" spans="1:25" s="56" customFormat="1" ht="15" customHeight="1">
      <c r="A11" s="562" t="str">
        <f>M11</f>
        <v>C2</v>
      </c>
      <c r="B11" s="806" t="s">
        <v>383</v>
      </c>
      <c r="C11" s="806">
        <f>O13</f>
        <v>1.7999999999999998</v>
      </c>
      <c r="D11" s="806" t="s">
        <v>716</v>
      </c>
      <c r="E11" s="809">
        <f>O11</f>
        <v>200</v>
      </c>
      <c r="F11" s="810" t="s">
        <v>666</v>
      </c>
      <c r="G11" s="811">
        <f>O12</f>
        <v>300</v>
      </c>
      <c r="H11" s="812" t="s">
        <v>717</v>
      </c>
      <c r="I11" s="807">
        <f>M12</f>
        <v>4</v>
      </c>
      <c r="J11" s="1019"/>
      <c r="K11" s="1019"/>
      <c r="L11" s="813" t="s">
        <v>452</v>
      </c>
      <c r="M11" s="814" t="s">
        <v>424</v>
      </c>
      <c r="N11" s="815" t="s">
        <v>384</v>
      </c>
      <c r="O11" s="816">
        <v>200</v>
      </c>
      <c r="P11" s="817" t="s">
        <v>382</v>
      </c>
      <c r="Q11" s="817" t="s">
        <v>654</v>
      </c>
      <c r="R11" s="817" t="s">
        <v>384</v>
      </c>
      <c r="S11" s="817" t="s">
        <v>385</v>
      </c>
      <c r="T11" s="817" t="s">
        <v>655</v>
      </c>
      <c r="U11" s="817" t="s">
        <v>656</v>
      </c>
      <c r="V11" s="817" t="s">
        <v>657</v>
      </c>
      <c r="W11" s="817" t="s">
        <v>658</v>
      </c>
      <c r="X11" s="817" t="s">
        <v>659</v>
      </c>
      <c r="Y11" s="817" t="s">
        <v>678</v>
      </c>
    </row>
    <row r="12" spans="1:25" s="56" customFormat="1" ht="15" customHeight="1">
      <c r="A12" s="1007"/>
      <c r="B12" s="610">
        <v>16</v>
      </c>
      <c r="C12" s="612">
        <v>4</v>
      </c>
      <c r="D12" s="546">
        <f>C11*C12*I11</f>
        <v>28.799999999999997</v>
      </c>
      <c r="E12" s="545">
        <v>0</v>
      </c>
      <c r="F12" s="546"/>
      <c r="G12" s="544">
        <f>D12+E12</f>
        <v>28.799999999999997</v>
      </c>
      <c r="H12" s="547">
        <f>((C11/6)*(45*B12)*(I11*C12))/1000</f>
        <v>3.456</v>
      </c>
      <c r="I12" s="548">
        <f>(G12+H12)</f>
        <v>32.256</v>
      </c>
      <c r="J12" s="549">
        <f>B12*B12/162</f>
        <v>1.5802469135802468</v>
      </c>
      <c r="K12" s="607">
        <f>I12*J12</f>
        <v>50.972444444444442</v>
      </c>
      <c r="L12" s="813" t="s">
        <v>718</v>
      </c>
      <c r="M12" s="814">
        <v>4</v>
      </c>
      <c r="N12" s="815" t="s">
        <v>385</v>
      </c>
      <c r="O12" s="816">
        <v>300</v>
      </c>
      <c r="P12" s="1012" t="str">
        <f>M11</f>
        <v>C2</v>
      </c>
      <c r="Q12" s="818">
        <f>B14</f>
        <v>6</v>
      </c>
      <c r="R12" s="819">
        <f>O11</f>
        <v>200</v>
      </c>
      <c r="S12" s="819">
        <f>O12</f>
        <v>300</v>
      </c>
      <c r="T12" s="819">
        <v>40</v>
      </c>
      <c r="U12" s="820">
        <f t="shared" ref="U12:U13" si="3">R12-(2*T12)</f>
        <v>120</v>
      </c>
      <c r="V12" s="820">
        <f>S12-(2*T12)</f>
        <v>220</v>
      </c>
      <c r="W12" s="821">
        <f t="shared" ref="W12:W13" si="4">2*(U12+V12)+(2*10*Q12)-(5*2*Q12)</f>
        <v>740</v>
      </c>
      <c r="X12" s="822">
        <f t="shared" ref="X12:X13" si="5">W12/1000</f>
        <v>0.74</v>
      </c>
      <c r="Y12" s="823">
        <f>SUM(X12:X14)</f>
        <v>1.3599999999999999</v>
      </c>
    </row>
    <row r="13" spans="1:25" s="56" customFormat="1" ht="15" customHeight="1">
      <c r="A13" s="1008"/>
      <c r="B13" s="610">
        <v>16</v>
      </c>
      <c r="C13" s="612">
        <v>4</v>
      </c>
      <c r="D13" s="552">
        <f>C11*C13*I11</f>
        <v>28.799999999999997</v>
      </c>
      <c r="E13" s="551">
        <v>0</v>
      </c>
      <c r="F13" s="552"/>
      <c r="G13" s="550">
        <f>D13+E13</f>
        <v>28.799999999999997</v>
      </c>
      <c r="H13" s="553">
        <f>((C11/6)*(45*B13)*(I11*C13))/1000</f>
        <v>3.456</v>
      </c>
      <c r="I13" s="554">
        <f>(G13+H13)</f>
        <v>32.256</v>
      </c>
      <c r="J13" s="555">
        <f>B13*B13/162</f>
        <v>1.5802469135802468</v>
      </c>
      <c r="K13" s="608">
        <f>I13*J13</f>
        <v>50.972444444444442</v>
      </c>
      <c r="L13" s="813" t="s">
        <v>719</v>
      </c>
      <c r="M13" s="824">
        <v>7</v>
      </c>
      <c r="N13" s="815" t="s">
        <v>383</v>
      </c>
      <c r="O13" s="816">
        <f>O8</f>
        <v>1.7999999999999998</v>
      </c>
      <c r="P13" s="1013"/>
      <c r="Q13" s="818">
        <f>B14</f>
        <v>6</v>
      </c>
      <c r="R13" s="819">
        <f>R12</f>
        <v>200</v>
      </c>
      <c r="S13" s="825">
        <v>160</v>
      </c>
      <c r="T13" s="819">
        <v>40</v>
      </c>
      <c r="U13" s="820">
        <f t="shared" si="3"/>
        <v>120</v>
      </c>
      <c r="V13" s="820">
        <f>S13</f>
        <v>160</v>
      </c>
      <c r="W13" s="821">
        <f t="shared" si="4"/>
        <v>620</v>
      </c>
      <c r="X13" s="822">
        <f t="shared" si="5"/>
        <v>0.62</v>
      </c>
      <c r="Y13" s="826"/>
    </row>
    <row r="14" spans="1:25" s="56" customFormat="1" ht="15" customHeight="1">
      <c r="A14" s="1009"/>
      <c r="B14" s="610">
        <v>6</v>
      </c>
      <c r="C14" s="611">
        <f>M13</f>
        <v>7</v>
      </c>
      <c r="D14" s="563">
        <f>Y12</f>
        <v>1.3599999999999999</v>
      </c>
      <c r="E14" s="557">
        <v>0</v>
      </c>
      <c r="F14" s="558"/>
      <c r="G14" s="556">
        <f>D14*C14*I11</f>
        <v>38.08</v>
      </c>
      <c r="H14" s="559"/>
      <c r="I14" s="560">
        <f>G14</f>
        <v>38.08</v>
      </c>
      <c r="J14" s="561">
        <f>B14*B14/162</f>
        <v>0.22222222222222221</v>
      </c>
      <c r="K14" s="609">
        <f>I14*J14</f>
        <v>8.4622222222222216</v>
      </c>
      <c r="L14" s="813" t="s">
        <v>678</v>
      </c>
      <c r="M14" s="827">
        <f>Y12</f>
        <v>1.3599999999999999</v>
      </c>
      <c r="N14" s="828"/>
      <c r="O14" s="829"/>
      <c r="P14" s="1014"/>
      <c r="Q14" s="818"/>
      <c r="R14" s="819"/>
      <c r="S14" s="819"/>
      <c r="T14" s="819"/>
      <c r="U14" s="820"/>
      <c r="V14" s="820"/>
      <c r="W14" s="821"/>
      <c r="X14" s="822"/>
      <c r="Y14" s="826"/>
    </row>
    <row r="15" spans="1:25" s="56" customFormat="1" ht="15" customHeight="1">
      <c r="A15" s="19"/>
      <c r="B15" s="57"/>
      <c r="C15" s="19"/>
      <c r="D15" s="19"/>
      <c r="K15" s="58"/>
      <c r="L15" s="19"/>
      <c r="M15" s="19"/>
      <c r="N15" s="19"/>
    </row>
    <row r="16" spans="1:25" s="56" customFormat="1" ht="15" customHeight="1">
      <c r="A16" s="562" t="str">
        <f>M16</f>
        <v>C3</v>
      </c>
      <c r="B16" s="806" t="s">
        <v>383</v>
      </c>
      <c r="C16" s="806">
        <f>O18</f>
        <v>1.7999999999999998</v>
      </c>
      <c r="D16" s="806" t="s">
        <v>716</v>
      </c>
      <c r="E16" s="809">
        <f>O16</f>
        <v>250</v>
      </c>
      <c r="F16" s="810" t="s">
        <v>666</v>
      </c>
      <c r="G16" s="811">
        <f>O17</f>
        <v>300</v>
      </c>
      <c r="H16" s="812" t="s">
        <v>717</v>
      </c>
      <c r="I16" s="807">
        <f>M17</f>
        <v>9</v>
      </c>
      <c r="J16" s="1019"/>
      <c r="K16" s="1019"/>
      <c r="L16" s="813" t="s">
        <v>452</v>
      </c>
      <c r="M16" s="814" t="s">
        <v>425</v>
      </c>
      <c r="N16" s="815" t="s">
        <v>384</v>
      </c>
      <c r="O16" s="816">
        <v>250</v>
      </c>
      <c r="P16" s="817" t="s">
        <v>382</v>
      </c>
      <c r="Q16" s="817" t="s">
        <v>654</v>
      </c>
      <c r="R16" s="817" t="s">
        <v>384</v>
      </c>
      <c r="S16" s="817" t="s">
        <v>385</v>
      </c>
      <c r="T16" s="817" t="s">
        <v>655</v>
      </c>
      <c r="U16" s="817" t="s">
        <v>656</v>
      </c>
      <c r="V16" s="817" t="s">
        <v>657</v>
      </c>
      <c r="W16" s="817" t="s">
        <v>658</v>
      </c>
      <c r="X16" s="817" t="s">
        <v>659</v>
      </c>
      <c r="Y16" s="817" t="s">
        <v>678</v>
      </c>
    </row>
    <row r="17" spans="1:25" s="56" customFormat="1" ht="15" customHeight="1">
      <c r="A17" s="1007"/>
      <c r="B17" s="610">
        <v>20</v>
      </c>
      <c r="C17" s="612">
        <v>4</v>
      </c>
      <c r="D17" s="546">
        <f>C16*C17*I16</f>
        <v>64.8</v>
      </c>
      <c r="E17" s="545">
        <v>0</v>
      </c>
      <c r="F17" s="546"/>
      <c r="G17" s="544">
        <f>D17+E17</f>
        <v>64.8</v>
      </c>
      <c r="H17" s="547">
        <f>((C16/6)*(45*B17)*(I16*C17))/1000</f>
        <v>9.7200000000000006</v>
      </c>
      <c r="I17" s="548">
        <f>(G17+H17)</f>
        <v>74.52</v>
      </c>
      <c r="J17" s="549">
        <f>B17*B17/162</f>
        <v>2.4691358024691357</v>
      </c>
      <c r="K17" s="607">
        <f>I17*J17</f>
        <v>183.99999999999997</v>
      </c>
      <c r="L17" s="813" t="s">
        <v>718</v>
      </c>
      <c r="M17" s="814">
        <v>9</v>
      </c>
      <c r="N17" s="815" t="s">
        <v>385</v>
      </c>
      <c r="O17" s="816">
        <v>300</v>
      </c>
      <c r="P17" s="1012" t="str">
        <f>M16</f>
        <v>C3</v>
      </c>
      <c r="Q17" s="818">
        <f>B19</f>
        <v>6</v>
      </c>
      <c r="R17" s="819">
        <f>O16</f>
        <v>250</v>
      </c>
      <c r="S17" s="819">
        <f>O17</f>
        <v>300</v>
      </c>
      <c r="T17" s="819">
        <v>40</v>
      </c>
      <c r="U17" s="820">
        <f t="shared" ref="U17:U18" si="6">R17-(2*T17)</f>
        <v>170</v>
      </c>
      <c r="V17" s="820">
        <f>S17-(2*T17)</f>
        <v>220</v>
      </c>
      <c r="W17" s="821">
        <f t="shared" ref="W17:W18" si="7">2*(U17+V17)+(2*10*Q17)-(5*2*Q17)</f>
        <v>840</v>
      </c>
      <c r="X17" s="822">
        <f t="shared" ref="X17:X18" si="8">W17/1000</f>
        <v>0.84</v>
      </c>
      <c r="Y17" s="823">
        <f>SUM(X17:X19)</f>
        <v>1.5</v>
      </c>
    </row>
    <row r="18" spans="1:25" s="56" customFormat="1" ht="15" customHeight="1">
      <c r="A18" s="1008"/>
      <c r="B18" s="610">
        <v>20</v>
      </c>
      <c r="C18" s="612">
        <v>4</v>
      </c>
      <c r="D18" s="552">
        <f>C16*C18*I16</f>
        <v>64.8</v>
      </c>
      <c r="E18" s="551">
        <v>0</v>
      </c>
      <c r="F18" s="552"/>
      <c r="G18" s="550">
        <f>D18+E18</f>
        <v>64.8</v>
      </c>
      <c r="H18" s="553">
        <f>((C16/6)*(45*B18)*(I16*C18))/1000</f>
        <v>9.7200000000000006</v>
      </c>
      <c r="I18" s="554">
        <f>(G18+H18)</f>
        <v>74.52</v>
      </c>
      <c r="J18" s="555">
        <f>B18*B18/162</f>
        <v>2.4691358024691357</v>
      </c>
      <c r="K18" s="608">
        <f>I18*J18</f>
        <v>183.99999999999997</v>
      </c>
      <c r="L18" s="813" t="s">
        <v>719</v>
      </c>
      <c r="M18" s="814">
        <v>7</v>
      </c>
      <c r="N18" s="815" t="s">
        <v>383</v>
      </c>
      <c r="O18" s="816">
        <f>O8</f>
        <v>1.7999999999999998</v>
      </c>
      <c r="P18" s="1013"/>
      <c r="Q18" s="818">
        <f>B19</f>
        <v>6</v>
      </c>
      <c r="R18" s="819">
        <f>R17</f>
        <v>250</v>
      </c>
      <c r="S18" s="825">
        <v>130</v>
      </c>
      <c r="T18" s="819">
        <v>40</v>
      </c>
      <c r="U18" s="820">
        <f t="shared" si="6"/>
        <v>170</v>
      </c>
      <c r="V18" s="820">
        <f>S18</f>
        <v>130</v>
      </c>
      <c r="W18" s="821">
        <f t="shared" si="7"/>
        <v>660</v>
      </c>
      <c r="X18" s="822">
        <f t="shared" si="8"/>
        <v>0.66</v>
      </c>
      <c r="Y18" s="826"/>
    </row>
    <row r="19" spans="1:25" s="56" customFormat="1" ht="15" customHeight="1">
      <c r="A19" s="1009"/>
      <c r="B19" s="610">
        <v>6</v>
      </c>
      <c r="C19" s="611">
        <f>M18</f>
        <v>7</v>
      </c>
      <c r="D19" s="563">
        <f>Y17</f>
        <v>1.5</v>
      </c>
      <c r="E19" s="557">
        <v>0</v>
      </c>
      <c r="F19" s="558"/>
      <c r="G19" s="556">
        <f>D19*C19*I16</f>
        <v>94.5</v>
      </c>
      <c r="H19" s="559"/>
      <c r="I19" s="560">
        <f>G19</f>
        <v>94.5</v>
      </c>
      <c r="J19" s="561">
        <f>B19*B19/162</f>
        <v>0.22222222222222221</v>
      </c>
      <c r="K19" s="609">
        <f>I19*J19</f>
        <v>21</v>
      </c>
      <c r="L19" s="813" t="s">
        <v>678</v>
      </c>
      <c r="M19" s="827">
        <f>Y17</f>
        <v>1.5</v>
      </c>
      <c r="N19" s="828"/>
      <c r="O19" s="829"/>
      <c r="P19" s="1014"/>
      <c r="Q19" s="818"/>
      <c r="R19" s="819"/>
      <c r="S19" s="819"/>
      <c r="T19" s="819"/>
      <c r="U19" s="820"/>
      <c r="V19" s="820"/>
      <c r="W19" s="821"/>
      <c r="X19" s="822"/>
      <c r="Y19" s="826"/>
    </row>
    <row r="20" spans="1:25" s="56" customFormat="1" ht="15" customHeight="1">
      <c r="A20" s="19"/>
      <c r="B20" s="57"/>
      <c r="C20" s="19"/>
      <c r="D20" s="19"/>
      <c r="K20" s="58"/>
      <c r="L20" s="19"/>
      <c r="M20" s="19"/>
      <c r="N20" s="19"/>
    </row>
    <row r="21" spans="1:25" s="56" customFormat="1" ht="15" customHeight="1">
      <c r="A21" s="19"/>
      <c r="B21" s="57"/>
      <c r="C21" s="19"/>
      <c r="D21" s="19"/>
      <c r="I21" s="1010" t="s">
        <v>421</v>
      </c>
      <c r="J21" s="815" t="s">
        <v>708</v>
      </c>
      <c r="K21" s="830" t="s">
        <v>720</v>
      </c>
      <c r="L21" s="19"/>
      <c r="M21" s="19"/>
      <c r="N21" s="19"/>
    </row>
    <row r="22" spans="1:25" s="56" customFormat="1" ht="15" customHeight="1">
      <c r="A22" s="19"/>
      <c r="B22" s="57"/>
      <c r="C22" s="19"/>
      <c r="D22" s="19"/>
      <c r="I22" s="1010"/>
      <c r="J22" s="831">
        <v>6</v>
      </c>
      <c r="K22" s="832">
        <f t="shared" ref="K22:K27" si="9">SUMIF($B$7:$B$20,J22,$K$7:$K$20)</f>
        <v>36.275555555555556</v>
      </c>
      <c r="L22" s="19"/>
      <c r="M22" s="19"/>
      <c r="N22" s="19"/>
    </row>
    <row r="23" spans="1:25" s="56" customFormat="1" ht="15" customHeight="1">
      <c r="A23" s="19"/>
      <c r="B23" s="57"/>
      <c r="C23" s="19"/>
      <c r="D23" s="19"/>
      <c r="I23" s="1010"/>
      <c r="J23" s="831">
        <v>10</v>
      </c>
      <c r="K23" s="832">
        <f t="shared" si="9"/>
        <v>0</v>
      </c>
      <c r="L23" s="19"/>
      <c r="M23" s="19"/>
      <c r="N23" s="19"/>
    </row>
    <row r="24" spans="1:25" s="56" customFormat="1" ht="15" customHeight="1">
      <c r="A24" s="19"/>
      <c r="B24" s="57"/>
      <c r="C24" s="19"/>
      <c r="D24" s="19"/>
      <c r="I24" s="1010"/>
      <c r="J24" s="831">
        <v>12</v>
      </c>
      <c r="K24" s="832">
        <f t="shared" si="9"/>
        <v>0</v>
      </c>
      <c r="L24" s="19"/>
      <c r="M24" s="19"/>
      <c r="N24" s="19"/>
    </row>
    <row r="25" spans="1:25" s="56" customFormat="1" ht="15" customHeight="1">
      <c r="A25" s="19"/>
      <c r="B25" s="57"/>
      <c r="C25" s="19"/>
      <c r="D25" s="19"/>
      <c r="I25" s="1010"/>
      <c r="J25" s="831">
        <v>16</v>
      </c>
      <c r="K25" s="832">
        <f t="shared" si="9"/>
        <v>159.28888888888889</v>
      </c>
      <c r="L25" s="19"/>
      <c r="M25" s="19"/>
      <c r="N25" s="19"/>
    </row>
    <row r="26" spans="1:25" s="56" customFormat="1" ht="15" customHeight="1">
      <c r="A26" s="19"/>
      <c r="B26" s="57"/>
      <c r="C26" s="19"/>
      <c r="D26" s="19"/>
      <c r="I26" s="1010"/>
      <c r="J26" s="831">
        <v>20</v>
      </c>
      <c r="K26" s="832">
        <f t="shared" si="9"/>
        <v>367.99999999999994</v>
      </c>
      <c r="L26" s="19"/>
      <c r="M26" s="19"/>
      <c r="N26" s="19"/>
    </row>
    <row r="27" spans="1:25" s="56" customFormat="1" ht="15" customHeight="1">
      <c r="A27" s="19"/>
      <c r="B27" s="57"/>
      <c r="C27" s="19"/>
      <c r="D27" s="19"/>
      <c r="I27" s="1010"/>
      <c r="J27" s="831">
        <v>25</v>
      </c>
      <c r="K27" s="832">
        <f t="shared" si="9"/>
        <v>0</v>
      </c>
      <c r="L27" s="19"/>
      <c r="M27" s="19"/>
      <c r="N27" s="19"/>
    </row>
    <row r="28" spans="1:25" s="56" customFormat="1" ht="15" customHeight="1">
      <c r="A28" s="19"/>
      <c r="D28" s="19"/>
      <c r="I28" s="1011" t="s">
        <v>721</v>
      </c>
      <c r="J28" s="1011"/>
      <c r="K28" s="833">
        <f>SUM(K22:K27)</f>
        <v>563.56444444444446</v>
      </c>
      <c r="L28" s="19"/>
      <c r="M28" s="19"/>
      <c r="N28" s="19"/>
    </row>
    <row r="29" spans="1:25" ht="13.5" thickBot="1"/>
    <row r="30" spans="1:25">
      <c r="A30" s="1015" t="s">
        <v>104</v>
      </c>
      <c r="B30" s="1016"/>
      <c r="C30" s="1016"/>
      <c r="D30" s="564"/>
      <c r="E30" s="312"/>
      <c r="F30" s="312"/>
      <c r="G30" s="312"/>
      <c r="H30" s="312"/>
      <c r="I30" s="312"/>
      <c r="J30" s="312"/>
      <c r="K30" s="565"/>
      <c r="L30" s="564"/>
      <c r="M30" s="564"/>
      <c r="N30" s="564"/>
      <c r="O30" s="312"/>
      <c r="P30" s="312"/>
      <c r="Q30" s="312"/>
      <c r="R30" s="312"/>
      <c r="S30" s="312"/>
      <c r="T30" s="312"/>
      <c r="U30" s="312"/>
      <c r="V30" s="312"/>
      <c r="W30" s="312"/>
      <c r="X30" s="312"/>
      <c r="Y30" s="566"/>
    </row>
    <row r="32" spans="1:25" s="56" customFormat="1" ht="15" customHeight="1">
      <c r="A32" s="805" t="s">
        <v>707</v>
      </c>
      <c r="B32" s="806" t="s">
        <v>708</v>
      </c>
      <c r="C32" s="806" t="s">
        <v>709</v>
      </c>
      <c r="D32" s="806" t="s">
        <v>710</v>
      </c>
      <c r="E32" s="1017" t="s">
        <v>667</v>
      </c>
      <c r="F32" s="1018"/>
      <c r="G32" s="806" t="s">
        <v>711</v>
      </c>
      <c r="H32" s="806" t="s">
        <v>712</v>
      </c>
      <c r="I32" s="806" t="s">
        <v>713</v>
      </c>
      <c r="J32" s="806" t="s">
        <v>714</v>
      </c>
      <c r="K32" s="808" t="s">
        <v>715</v>
      </c>
      <c r="L32" s="1020"/>
      <c r="M32" s="1021"/>
      <c r="N32" s="1021"/>
      <c r="O32" s="1021"/>
      <c r="P32" s="1021"/>
      <c r="Q32" s="1021"/>
      <c r="R32" s="1021"/>
      <c r="S32" s="1021"/>
      <c r="T32" s="1021"/>
      <c r="U32" s="1021"/>
      <c r="V32" s="1021"/>
      <c r="W32" s="1021"/>
      <c r="X32" s="1021"/>
      <c r="Y32" s="1022"/>
    </row>
    <row r="33" spans="1:25" s="56" customFormat="1" ht="15" customHeight="1">
      <c r="A33" s="562" t="str">
        <f>M33</f>
        <v>C1</v>
      </c>
      <c r="B33" s="806" t="s">
        <v>383</v>
      </c>
      <c r="C33" s="806">
        <f>O35</f>
        <v>3.3</v>
      </c>
      <c r="D33" s="806" t="s">
        <v>716</v>
      </c>
      <c r="E33" s="809">
        <f>O33</f>
        <v>250</v>
      </c>
      <c r="F33" s="810" t="s">
        <v>666</v>
      </c>
      <c r="G33" s="811">
        <f>O34</f>
        <v>400</v>
      </c>
      <c r="H33" s="812" t="s">
        <v>717</v>
      </c>
      <c r="I33" s="807">
        <f>M34</f>
        <v>5</v>
      </c>
      <c r="J33" s="1019"/>
      <c r="K33" s="1019"/>
      <c r="L33" s="813" t="s">
        <v>452</v>
      </c>
      <c r="M33" s="814" t="s">
        <v>423</v>
      </c>
      <c r="N33" s="815" t="s">
        <v>384</v>
      </c>
      <c r="O33" s="816">
        <v>250</v>
      </c>
      <c r="P33" s="817" t="s">
        <v>382</v>
      </c>
      <c r="Q33" s="817" t="s">
        <v>654</v>
      </c>
      <c r="R33" s="817" t="s">
        <v>384</v>
      </c>
      <c r="S33" s="817" t="s">
        <v>385</v>
      </c>
      <c r="T33" s="817" t="s">
        <v>655</v>
      </c>
      <c r="U33" s="817" t="s">
        <v>656</v>
      </c>
      <c r="V33" s="817" t="s">
        <v>657</v>
      </c>
      <c r="W33" s="817" t="s">
        <v>658</v>
      </c>
      <c r="X33" s="817" t="s">
        <v>659</v>
      </c>
      <c r="Y33" s="817" t="s">
        <v>678</v>
      </c>
    </row>
    <row r="34" spans="1:25" s="56" customFormat="1" ht="15" customHeight="1">
      <c r="A34" s="1007"/>
      <c r="B34" s="610">
        <v>20</v>
      </c>
      <c r="C34" s="612">
        <v>4</v>
      </c>
      <c r="D34" s="546">
        <f>C33*C34*I33</f>
        <v>66</v>
      </c>
      <c r="E34" s="545">
        <v>0</v>
      </c>
      <c r="F34" s="546"/>
      <c r="G34" s="544">
        <f>D34+E34</f>
        <v>66</v>
      </c>
      <c r="H34" s="547">
        <f>((C33/6)*(45*B34)*(I33*C34))/1000</f>
        <v>9.8999999999999986</v>
      </c>
      <c r="I34" s="548">
        <f>(G34+H34)</f>
        <v>75.900000000000006</v>
      </c>
      <c r="J34" s="549">
        <f>B34*B34/162</f>
        <v>2.4691358024691357</v>
      </c>
      <c r="K34" s="607">
        <f>I34*J34</f>
        <v>187.40740740740742</v>
      </c>
      <c r="L34" s="813" t="s">
        <v>718</v>
      </c>
      <c r="M34" s="814">
        <v>5</v>
      </c>
      <c r="N34" s="815" t="s">
        <v>385</v>
      </c>
      <c r="O34" s="816">
        <v>400</v>
      </c>
      <c r="P34" s="1012" t="str">
        <f>M33</f>
        <v>C1</v>
      </c>
      <c r="Q34" s="818">
        <f>B36</f>
        <v>6</v>
      </c>
      <c r="R34" s="819">
        <f>O33</f>
        <v>250</v>
      </c>
      <c r="S34" s="819">
        <f>O34</f>
        <v>400</v>
      </c>
      <c r="T34" s="819">
        <v>40</v>
      </c>
      <c r="U34" s="820">
        <f t="shared" ref="U34:U35" si="10">R34-(2*T34)</f>
        <v>170</v>
      </c>
      <c r="V34" s="820">
        <f>S34-(2*T34)</f>
        <v>320</v>
      </c>
      <c r="W34" s="821">
        <f t="shared" ref="W34:W35" si="11">2*(U34+V34)+(2*10*Q34)-(5*2*Q34)</f>
        <v>1040</v>
      </c>
      <c r="X34" s="822">
        <f t="shared" ref="X34:X35" si="12">W34/1000</f>
        <v>1.04</v>
      </c>
      <c r="Y34" s="823">
        <f>SUM(X34:X36)</f>
        <v>1.76</v>
      </c>
    </row>
    <row r="35" spans="1:25" s="56" customFormat="1" ht="15" customHeight="1">
      <c r="A35" s="1008"/>
      <c r="B35" s="610">
        <v>20</v>
      </c>
      <c r="C35" s="612">
        <v>4</v>
      </c>
      <c r="D35" s="552">
        <f>C33*C35*I33</f>
        <v>66</v>
      </c>
      <c r="E35" s="551">
        <v>0</v>
      </c>
      <c r="F35" s="552"/>
      <c r="G35" s="550">
        <f>D35+E35</f>
        <v>66</v>
      </c>
      <c r="H35" s="553">
        <f>((C33/6)*(45*B35)*(I33*C35))/1000</f>
        <v>9.8999999999999986</v>
      </c>
      <c r="I35" s="554">
        <f>(G35+H35)</f>
        <v>75.900000000000006</v>
      </c>
      <c r="J35" s="555">
        <f>B35*B35/162</f>
        <v>2.4691358024691357</v>
      </c>
      <c r="K35" s="608">
        <f>I35*J35</f>
        <v>187.40740740740742</v>
      </c>
      <c r="L35" s="813" t="s">
        <v>719</v>
      </c>
      <c r="M35" s="814">
        <v>23</v>
      </c>
      <c r="N35" s="815" t="s">
        <v>383</v>
      </c>
      <c r="O35" s="816">
        <v>3.3</v>
      </c>
      <c r="P35" s="1013"/>
      <c r="Q35" s="818">
        <f>B36</f>
        <v>6</v>
      </c>
      <c r="R35" s="819">
        <f>R34</f>
        <v>250</v>
      </c>
      <c r="S35" s="825">
        <v>160</v>
      </c>
      <c r="T35" s="819">
        <v>40</v>
      </c>
      <c r="U35" s="820">
        <f t="shared" si="10"/>
        <v>170</v>
      </c>
      <c r="V35" s="820">
        <f>S35</f>
        <v>160</v>
      </c>
      <c r="W35" s="821">
        <f t="shared" si="11"/>
        <v>720</v>
      </c>
      <c r="X35" s="822">
        <f t="shared" si="12"/>
        <v>0.72</v>
      </c>
      <c r="Y35" s="826"/>
    </row>
    <row r="36" spans="1:25" s="56" customFormat="1" ht="15" customHeight="1">
      <c r="A36" s="1009"/>
      <c r="B36" s="610">
        <v>6</v>
      </c>
      <c r="C36" s="611">
        <f>M35</f>
        <v>23</v>
      </c>
      <c r="D36" s="563">
        <f>Y34</f>
        <v>1.76</v>
      </c>
      <c r="E36" s="557">
        <v>0</v>
      </c>
      <c r="F36" s="558"/>
      <c r="G36" s="556">
        <f>D36*C36*I33</f>
        <v>202.39999999999998</v>
      </c>
      <c r="H36" s="559"/>
      <c r="I36" s="560">
        <f>G36</f>
        <v>202.39999999999998</v>
      </c>
      <c r="J36" s="561">
        <f>B36*B36/162</f>
        <v>0.22222222222222221</v>
      </c>
      <c r="K36" s="609">
        <f>I36*J36</f>
        <v>44.977777777777767</v>
      </c>
      <c r="L36" s="813" t="s">
        <v>678</v>
      </c>
      <c r="M36" s="827">
        <f>Y34</f>
        <v>1.76</v>
      </c>
      <c r="N36" s="828"/>
      <c r="O36" s="829"/>
      <c r="P36" s="1014"/>
      <c r="Q36" s="818"/>
      <c r="R36" s="819"/>
      <c r="S36" s="819"/>
      <c r="T36" s="819"/>
      <c r="U36" s="820"/>
      <c r="V36" s="820"/>
      <c r="W36" s="821"/>
      <c r="X36" s="822"/>
      <c r="Y36" s="826"/>
    </row>
    <row r="37" spans="1:25" s="56" customFormat="1" ht="15" customHeight="1">
      <c r="A37" s="19"/>
      <c r="B37" s="57"/>
      <c r="C37" s="19"/>
      <c r="D37" s="19"/>
      <c r="K37" s="58"/>
      <c r="L37" s="19"/>
      <c r="M37" s="19"/>
      <c r="N37" s="19"/>
    </row>
    <row r="38" spans="1:25" s="56" customFormat="1" ht="15" customHeight="1">
      <c r="A38" s="562" t="str">
        <f>M38</f>
        <v>C2</v>
      </c>
      <c r="B38" s="806" t="s">
        <v>383</v>
      </c>
      <c r="C38" s="806">
        <f>O40</f>
        <v>3.3</v>
      </c>
      <c r="D38" s="806" t="s">
        <v>716</v>
      </c>
      <c r="E38" s="809">
        <f>O38</f>
        <v>250</v>
      </c>
      <c r="F38" s="810" t="s">
        <v>666</v>
      </c>
      <c r="G38" s="811">
        <f>O39</f>
        <v>400</v>
      </c>
      <c r="H38" s="812" t="s">
        <v>717</v>
      </c>
      <c r="I38" s="807">
        <f>M39</f>
        <v>6</v>
      </c>
      <c r="J38" s="1019"/>
      <c r="K38" s="1019"/>
      <c r="L38" s="813" t="s">
        <v>452</v>
      </c>
      <c r="M38" s="814" t="s">
        <v>424</v>
      </c>
      <c r="N38" s="815" t="s">
        <v>384</v>
      </c>
      <c r="O38" s="816">
        <v>250</v>
      </c>
      <c r="P38" s="817" t="s">
        <v>382</v>
      </c>
      <c r="Q38" s="817" t="s">
        <v>654</v>
      </c>
      <c r="R38" s="817" t="s">
        <v>384</v>
      </c>
      <c r="S38" s="817" t="s">
        <v>385</v>
      </c>
      <c r="T38" s="817" t="s">
        <v>655</v>
      </c>
      <c r="U38" s="817" t="s">
        <v>656</v>
      </c>
      <c r="V38" s="817" t="s">
        <v>657</v>
      </c>
      <c r="W38" s="817" t="s">
        <v>658</v>
      </c>
      <c r="X38" s="817" t="s">
        <v>659</v>
      </c>
      <c r="Y38" s="817" t="s">
        <v>678</v>
      </c>
    </row>
    <row r="39" spans="1:25" s="56" customFormat="1" ht="15" customHeight="1">
      <c r="A39" s="1007"/>
      <c r="B39" s="610">
        <v>16</v>
      </c>
      <c r="C39" s="612">
        <v>4</v>
      </c>
      <c r="D39" s="546">
        <f>C38*C39*I38</f>
        <v>79.199999999999989</v>
      </c>
      <c r="E39" s="545">
        <v>0</v>
      </c>
      <c r="F39" s="546"/>
      <c r="G39" s="544">
        <f>D39+E39</f>
        <v>79.199999999999989</v>
      </c>
      <c r="H39" s="547">
        <f>((C38/6)*(45*B39)*(I38*C39))/1000</f>
        <v>9.5039999999999978</v>
      </c>
      <c r="I39" s="548">
        <f>(G39+H39)</f>
        <v>88.703999999999979</v>
      </c>
      <c r="J39" s="549">
        <f>B39*B39/162</f>
        <v>1.5802469135802468</v>
      </c>
      <c r="K39" s="607">
        <f>I39*J39</f>
        <v>140.17422222222217</v>
      </c>
      <c r="L39" s="813" t="s">
        <v>718</v>
      </c>
      <c r="M39" s="814">
        <v>6</v>
      </c>
      <c r="N39" s="815" t="s">
        <v>385</v>
      </c>
      <c r="O39" s="816">
        <v>400</v>
      </c>
      <c r="P39" s="1012" t="str">
        <f>M38</f>
        <v>C2</v>
      </c>
      <c r="Q39" s="818">
        <f>B41</f>
        <v>6</v>
      </c>
      <c r="R39" s="819">
        <f>O38</f>
        <v>250</v>
      </c>
      <c r="S39" s="819">
        <f>O39</f>
        <v>400</v>
      </c>
      <c r="T39" s="819">
        <v>40</v>
      </c>
      <c r="U39" s="820">
        <f t="shared" ref="U39:U40" si="13">R39-(2*T39)</f>
        <v>170</v>
      </c>
      <c r="V39" s="820">
        <f>S39-(2*T39)</f>
        <v>320</v>
      </c>
      <c r="W39" s="821">
        <f t="shared" ref="W39:W40" si="14">2*(U39+V39)+(2*10*Q39)-(5*2*Q39)</f>
        <v>1040</v>
      </c>
      <c r="X39" s="822">
        <f t="shared" ref="X39:X40" si="15">W39/1000</f>
        <v>1.04</v>
      </c>
      <c r="Y39" s="823">
        <f>SUM(X39:X41)</f>
        <v>1.76</v>
      </c>
    </row>
    <row r="40" spans="1:25" s="56" customFormat="1" ht="15" customHeight="1">
      <c r="A40" s="1008"/>
      <c r="B40" s="610">
        <v>16</v>
      </c>
      <c r="C40" s="612">
        <v>4</v>
      </c>
      <c r="D40" s="552">
        <f>C38*C40*I38</f>
        <v>79.199999999999989</v>
      </c>
      <c r="E40" s="551">
        <v>0</v>
      </c>
      <c r="F40" s="552"/>
      <c r="G40" s="550">
        <f>D40+E40</f>
        <v>79.199999999999989</v>
      </c>
      <c r="H40" s="553">
        <f>((C38/6)*(45*B40)*(I38*C40))/1000</f>
        <v>9.5039999999999978</v>
      </c>
      <c r="I40" s="554">
        <f>(G40+H40)</f>
        <v>88.703999999999979</v>
      </c>
      <c r="J40" s="555">
        <f>B40*B40/162</f>
        <v>1.5802469135802468</v>
      </c>
      <c r="K40" s="608">
        <f>I40*J40</f>
        <v>140.17422222222217</v>
      </c>
      <c r="L40" s="813" t="s">
        <v>719</v>
      </c>
      <c r="M40" s="814">
        <v>23</v>
      </c>
      <c r="N40" s="815" t="s">
        <v>383</v>
      </c>
      <c r="O40" s="816">
        <v>3.3</v>
      </c>
      <c r="P40" s="1013"/>
      <c r="Q40" s="818">
        <f>B41</f>
        <v>6</v>
      </c>
      <c r="R40" s="819">
        <f>R39</f>
        <v>250</v>
      </c>
      <c r="S40" s="825">
        <v>160</v>
      </c>
      <c r="T40" s="819">
        <v>40</v>
      </c>
      <c r="U40" s="820">
        <f t="shared" si="13"/>
        <v>170</v>
      </c>
      <c r="V40" s="820">
        <f>S40</f>
        <v>160</v>
      </c>
      <c r="W40" s="821">
        <f t="shared" si="14"/>
        <v>720</v>
      </c>
      <c r="X40" s="822">
        <f t="shared" si="15"/>
        <v>0.72</v>
      </c>
      <c r="Y40" s="826"/>
    </row>
    <row r="41" spans="1:25" s="56" customFormat="1" ht="15" customHeight="1">
      <c r="A41" s="1009"/>
      <c r="B41" s="610">
        <v>6</v>
      </c>
      <c r="C41" s="611">
        <f>M40</f>
        <v>23</v>
      </c>
      <c r="D41" s="563">
        <f>Y39</f>
        <v>1.76</v>
      </c>
      <c r="E41" s="557">
        <v>0</v>
      </c>
      <c r="F41" s="558"/>
      <c r="G41" s="556">
        <f>D41*C41*I38</f>
        <v>242.88</v>
      </c>
      <c r="H41" s="559"/>
      <c r="I41" s="560">
        <f>G41</f>
        <v>242.88</v>
      </c>
      <c r="J41" s="561">
        <f>B41*B41/162</f>
        <v>0.22222222222222221</v>
      </c>
      <c r="K41" s="609">
        <f>I41*J41</f>
        <v>53.973333333333329</v>
      </c>
      <c r="L41" s="813" t="s">
        <v>678</v>
      </c>
      <c r="M41" s="827">
        <f>Y39</f>
        <v>1.76</v>
      </c>
      <c r="N41" s="828"/>
      <c r="O41" s="829"/>
      <c r="P41" s="1014"/>
      <c r="Q41" s="818"/>
      <c r="R41" s="819"/>
      <c r="S41" s="819"/>
      <c r="T41" s="819"/>
      <c r="U41" s="820"/>
      <c r="V41" s="820"/>
      <c r="W41" s="821"/>
      <c r="X41" s="822"/>
      <c r="Y41" s="826"/>
    </row>
    <row r="42" spans="1:25" s="56" customFormat="1" ht="15" customHeight="1">
      <c r="A42" s="19"/>
      <c r="B42" s="57"/>
      <c r="C42" s="19"/>
      <c r="D42" s="19"/>
      <c r="K42" s="58"/>
      <c r="L42" s="19"/>
      <c r="M42" s="19"/>
      <c r="N42" s="19"/>
    </row>
    <row r="43" spans="1:25" s="56" customFormat="1" ht="15" customHeight="1">
      <c r="A43" s="562" t="str">
        <f>M43</f>
        <v>C3</v>
      </c>
      <c r="B43" s="806" t="s">
        <v>383</v>
      </c>
      <c r="C43" s="806">
        <f>O45</f>
        <v>3.3</v>
      </c>
      <c r="D43" s="806" t="s">
        <v>716</v>
      </c>
      <c r="E43" s="809">
        <f>O43</f>
        <v>250</v>
      </c>
      <c r="F43" s="810" t="s">
        <v>666</v>
      </c>
      <c r="G43" s="811">
        <f>O44</f>
        <v>300</v>
      </c>
      <c r="H43" s="812" t="s">
        <v>717</v>
      </c>
      <c r="I43" s="807">
        <f>M44</f>
        <v>3</v>
      </c>
      <c r="J43" s="1019"/>
      <c r="K43" s="1019"/>
      <c r="L43" s="813" t="s">
        <v>452</v>
      </c>
      <c r="M43" s="814" t="s">
        <v>425</v>
      </c>
      <c r="N43" s="815" t="s">
        <v>384</v>
      </c>
      <c r="O43" s="816">
        <v>250</v>
      </c>
      <c r="P43" s="817" t="s">
        <v>382</v>
      </c>
      <c r="Q43" s="817" t="s">
        <v>654</v>
      </c>
      <c r="R43" s="817" t="s">
        <v>384</v>
      </c>
      <c r="S43" s="817" t="s">
        <v>385</v>
      </c>
      <c r="T43" s="817" t="s">
        <v>655</v>
      </c>
      <c r="U43" s="817" t="s">
        <v>656</v>
      </c>
      <c r="V43" s="817" t="s">
        <v>657</v>
      </c>
      <c r="W43" s="817" t="s">
        <v>658</v>
      </c>
      <c r="X43" s="817" t="s">
        <v>659</v>
      </c>
      <c r="Y43" s="817" t="s">
        <v>678</v>
      </c>
    </row>
    <row r="44" spans="1:25" s="56" customFormat="1" ht="15" customHeight="1">
      <c r="A44" s="1007"/>
      <c r="B44" s="610">
        <v>20</v>
      </c>
      <c r="C44" s="612">
        <v>4</v>
      </c>
      <c r="D44" s="546">
        <f>C43*C44*I43</f>
        <v>39.599999999999994</v>
      </c>
      <c r="E44" s="545">
        <v>0</v>
      </c>
      <c r="F44" s="546"/>
      <c r="G44" s="544">
        <f>D44+E44</f>
        <v>39.599999999999994</v>
      </c>
      <c r="H44" s="547">
        <f>((C43/6)*(45*B44)*(I43*C44))/1000</f>
        <v>5.9399999999999995</v>
      </c>
      <c r="I44" s="548">
        <f>(G44+H44)</f>
        <v>45.539999999999992</v>
      </c>
      <c r="J44" s="549">
        <f>B44*B44/162</f>
        <v>2.4691358024691357</v>
      </c>
      <c r="K44" s="607">
        <f>I44*J44</f>
        <v>112.44444444444441</v>
      </c>
      <c r="L44" s="813" t="s">
        <v>718</v>
      </c>
      <c r="M44" s="814">
        <v>3</v>
      </c>
      <c r="N44" s="815" t="s">
        <v>385</v>
      </c>
      <c r="O44" s="816">
        <v>300</v>
      </c>
      <c r="P44" s="1012" t="str">
        <f>M43</f>
        <v>C3</v>
      </c>
      <c r="Q44" s="818">
        <f>B46</f>
        <v>6</v>
      </c>
      <c r="R44" s="819">
        <f>O43</f>
        <v>250</v>
      </c>
      <c r="S44" s="819">
        <f>O44</f>
        <v>300</v>
      </c>
      <c r="T44" s="819">
        <v>40</v>
      </c>
      <c r="U44" s="820">
        <f t="shared" ref="U44:U45" si="16">R44-(2*T44)</f>
        <v>170</v>
      </c>
      <c r="V44" s="820">
        <f>S44-(2*T44)</f>
        <v>220</v>
      </c>
      <c r="W44" s="821">
        <f t="shared" ref="W44:W45" si="17">2*(U44+V44)+(2*10*Q44)-(5*2*Q44)</f>
        <v>840</v>
      </c>
      <c r="X44" s="822">
        <f t="shared" ref="X44:X45" si="18">W44/1000</f>
        <v>0.84</v>
      </c>
      <c r="Y44" s="823">
        <f>SUM(X44:X46)</f>
        <v>1.5</v>
      </c>
    </row>
    <row r="45" spans="1:25" s="56" customFormat="1" ht="15" customHeight="1">
      <c r="A45" s="1008"/>
      <c r="B45" s="610">
        <v>20</v>
      </c>
      <c r="C45" s="612">
        <v>4</v>
      </c>
      <c r="D45" s="552">
        <f>C43*C45*I43</f>
        <v>39.599999999999994</v>
      </c>
      <c r="E45" s="551">
        <v>0</v>
      </c>
      <c r="F45" s="552"/>
      <c r="G45" s="550">
        <f>D45+E45</f>
        <v>39.599999999999994</v>
      </c>
      <c r="H45" s="553">
        <f>((C43/6)*(45*B45)*(I43*C45))/1000</f>
        <v>5.9399999999999995</v>
      </c>
      <c r="I45" s="554">
        <f>(G45+H45)</f>
        <v>45.539999999999992</v>
      </c>
      <c r="J45" s="555">
        <f>B45*B45/162</f>
        <v>2.4691358024691357</v>
      </c>
      <c r="K45" s="608">
        <f>I45*J45</f>
        <v>112.44444444444441</v>
      </c>
      <c r="L45" s="813" t="s">
        <v>719</v>
      </c>
      <c r="M45" s="814">
        <v>23</v>
      </c>
      <c r="N45" s="815" t="s">
        <v>383</v>
      </c>
      <c r="O45" s="816">
        <v>3.3</v>
      </c>
      <c r="P45" s="1013"/>
      <c r="Q45" s="818">
        <f>B46</f>
        <v>6</v>
      </c>
      <c r="R45" s="819">
        <f>R44</f>
        <v>250</v>
      </c>
      <c r="S45" s="825">
        <v>130</v>
      </c>
      <c r="T45" s="819">
        <v>40</v>
      </c>
      <c r="U45" s="820">
        <f t="shared" si="16"/>
        <v>170</v>
      </c>
      <c r="V45" s="820">
        <f>S45</f>
        <v>130</v>
      </c>
      <c r="W45" s="821">
        <f t="shared" si="17"/>
        <v>660</v>
      </c>
      <c r="X45" s="822">
        <f t="shared" si="18"/>
        <v>0.66</v>
      </c>
      <c r="Y45" s="826"/>
    </row>
    <row r="46" spans="1:25" s="56" customFormat="1" ht="15" customHeight="1">
      <c r="A46" s="1009"/>
      <c r="B46" s="610">
        <v>6</v>
      </c>
      <c r="C46" s="611">
        <f>M45</f>
        <v>23</v>
      </c>
      <c r="D46" s="563">
        <f>Y44</f>
        <v>1.5</v>
      </c>
      <c r="E46" s="557">
        <v>0</v>
      </c>
      <c r="F46" s="558"/>
      <c r="G46" s="556">
        <f>D46*C46*I43</f>
        <v>103.5</v>
      </c>
      <c r="H46" s="559"/>
      <c r="I46" s="560">
        <f>G46</f>
        <v>103.5</v>
      </c>
      <c r="J46" s="561">
        <f>B46*B46/162</f>
        <v>0.22222222222222221</v>
      </c>
      <c r="K46" s="609">
        <f>I46*J46</f>
        <v>23</v>
      </c>
      <c r="L46" s="813" t="s">
        <v>678</v>
      </c>
      <c r="M46" s="827">
        <f>Y44</f>
        <v>1.5</v>
      </c>
      <c r="N46" s="828"/>
      <c r="O46" s="829"/>
      <c r="P46" s="1014"/>
      <c r="Q46" s="818"/>
      <c r="R46" s="819"/>
      <c r="S46" s="819"/>
      <c r="T46" s="819"/>
      <c r="U46" s="820"/>
      <c r="V46" s="820"/>
      <c r="W46" s="821"/>
      <c r="X46" s="822"/>
      <c r="Y46" s="826"/>
    </row>
    <row r="47" spans="1:25" s="56" customFormat="1" ht="15" customHeight="1">
      <c r="A47" s="19"/>
      <c r="B47" s="57"/>
      <c r="C47" s="19"/>
      <c r="D47" s="19"/>
      <c r="K47" s="58"/>
      <c r="L47" s="19"/>
      <c r="M47" s="19"/>
      <c r="N47" s="19"/>
    </row>
    <row r="48" spans="1:25" s="56" customFormat="1" ht="15" customHeight="1">
      <c r="A48" s="562" t="str">
        <f>M48</f>
        <v>C4</v>
      </c>
      <c r="B48" s="806" t="s">
        <v>383</v>
      </c>
      <c r="C48" s="806">
        <f>O50</f>
        <v>3.3</v>
      </c>
      <c r="D48" s="806" t="s">
        <v>716</v>
      </c>
      <c r="E48" s="809">
        <f>O48</f>
        <v>200</v>
      </c>
      <c r="F48" s="810" t="s">
        <v>666</v>
      </c>
      <c r="G48" s="811">
        <f>O49</f>
        <v>200</v>
      </c>
      <c r="H48" s="812" t="s">
        <v>717</v>
      </c>
      <c r="I48" s="807">
        <f>M49</f>
        <v>1</v>
      </c>
      <c r="J48" s="1019"/>
      <c r="K48" s="1019"/>
      <c r="L48" s="813" t="s">
        <v>452</v>
      </c>
      <c r="M48" s="814" t="s">
        <v>722</v>
      </c>
      <c r="N48" s="815" t="s">
        <v>384</v>
      </c>
      <c r="O48" s="816">
        <v>200</v>
      </c>
      <c r="P48" s="817" t="s">
        <v>382</v>
      </c>
      <c r="Q48" s="817" t="s">
        <v>654</v>
      </c>
      <c r="R48" s="817" t="s">
        <v>384</v>
      </c>
      <c r="S48" s="817" t="s">
        <v>385</v>
      </c>
      <c r="T48" s="817" t="s">
        <v>655</v>
      </c>
      <c r="U48" s="817" t="s">
        <v>656</v>
      </c>
      <c r="V48" s="817" t="s">
        <v>657</v>
      </c>
      <c r="W48" s="817" t="s">
        <v>658</v>
      </c>
      <c r="X48" s="817" t="s">
        <v>659</v>
      </c>
      <c r="Y48" s="817" t="s">
        <v>678</v>
      </c>
    </row>
    <row r="49" spans="1:25" s="56" customFormat="1" ht="15" customHeight="1">
      <c r="A49" s="1007"/>
      <c r="B49" s="610">
        <v>20</v>
      </c>
      <c r="C49" s="612">
        <v>4</v>
      </c>
      <c r="D49" s="546">
        <f>C48*C49*I48</f>
        <v>13.2</v>
      </c>
      <c r="E49" s="545">
        <v>0</v>
      </c>
      <c r="F49" s="546"/>
      <c r="G49" s="544">
        <f>D49+E49</f>
        <v>13.2</v>
      </c>
      <c r="H49" s="547">
        <f>((C48/6)*(45*B49)*(I48*C49))/1000</f>
        <v>1.9799999999999998</v>
      </c>
      <c r="I49" s="548">
        <f>(G49+H49)</f>
        <v>15.18</v>
      </c>
      <c r="J49" s="549">
        <f>B49*B49/162</f>
        <v>2.4691358024691357</v>
      </c>
      <c r="K49" s="607">
        <f>I49*J49</f>
        <v>37.481481481481481</v>
      </c>
      <c r="L49" s="813" t="s">
        <v>718</v>
      </c>
      <c r="M49" s="814">
        <v>1</v>
      </c>
      <c r="N49" s="815" t="s">
        <v>385</v>
      </c>
      <c r="O49" s="816">
        <v>200</v>
      </c>
      <c r="P49" s="1012" t="str">
        <f>M48</f>
        <v>C4</v>
      </c>
      <c r="Q49" s="818">
        <f>B51</f>
        <v>6</v>
      </c>
      <c r="R49" s="819">
        <f>O48</f>
        <v>200</v>
      </c>
      <c r="S49" s="819">
        <f>O49</f>
        <v>200</v>
      </c>
      <c r="T49" s="819">
        <v>40</v>
      </c>
      <c r="U49" s="820">
        <f t="shared" ref="U49" si="19">R49-(2*T49)</f>
        <v>120</v>
      </c>
      <c r="V49" s="820">
        <f>S49-(2*T49)</f>
        <v>120</v>
      </c>
      <c r="W49" s="821">
        <f t="shared" ref="W49" si="20">2*(U49+V49)+(2*10*Q49)-(5*2*Q49)</f>
        <v>540</v>
      </c>
      <c r="X49" s="822">
        <f t="shared" ref="X49" si="21">W49/1000</f>
        <v>0.54</v>
      </c>
      <c r="Y49" s="823">
        <f>SUM(X49:X51)</f>
        <v>0.54</v>
      </c>
    </row>
    <row r="50" spans="1:25" s="56" customFormat="1" ht="15" customHeight="1">
      <c r="A50" s="1008"/>
      <c r="B50" s="610">
        <v>20</v>
      </c>
      <c r="C50" s="612">
        <v>4</v>
      </c>
      <c r="D50" s="552">
        <f>C48*C50*I48</f>
        <v>13.2</v>
      </c>
      <c r="E50" s="551">
        <v>0</v>
      </c>
      <c r="F50" s="552"/>
      <c r="G50" s="550">
        <f>D50+E50</f>
        <v>13.2</v>
      </c>
      <c r="H50" s="553">
        <f>((C48/6)*(45*B50)*(I48*C50))/1000</f>
        <v>1.9799999999999998</v>
      </c>
      <c r="I50" s="554">
        <f>(G50+H50)</f>
        <v>15.18</v>
      </c>
      <c r="J50" s="555">
        <f>B50*B50/162</f>
        <v>2.4691358024691357</v>
      </c>
      <c r="K50" s="608">
        <f>I50*J50</f>
        <v>37.481481481481481</v>
      </c>
      <c r="L50" s="813" t="s">
        <v>719</v>
      </c>
      <c r="M50" s="814">
        <v>23</v>
      </c>
      <c r="N50" s="815" t="s">
        <v>383</v>
      </c>
      <c r="O50" s="816">
        <v>3.3</v>
      </c>
      <c r="P50" s="1013"/>
      <c r="Q50" s="818"/>
      <c r="R50" s="819"/>
      <c r="S50" s="819"/>
      <c r="T50" s="819"/>
      <c r="U50" s="820"/>
      <c r="V50" s="820"/>
      <c r="W50" s="821"/>
      <c r="X50" s="822"/>
      <c r="Y50" s="826"/>
    </row>
    <row r="51" spans="1:25" s="56" customFormat="1" ht="15" customHeight="1">
      <c r="A51" s="1009"/>
      <c r="B51" s="610">
        <v>6</v>
      </c>
      <c r="C51" s="611">
        <f>M50</f>
        <v>23</v>
      </c>
      <c r="D51" s="563">
        <f>Y49</f>
        <v>0.54</v>
      </c>
      <c r="E51" s="557">
        <v>0</v>
      </c>
      <c r="F51" s="558"/>
      <c r="G51" s="556">
        <f>D51*C51*I48</f>
        <v>12.420000000000002</v>
      </c>
      <c r="H51" s="559"/>
      <c r="I51" s="560">
        <f>G51</f>
        <v>12.420000000000002</v>
      </c>
      <c r="J51" s="561">
        <f>B51*B51/162</f>
        <v>0.22222222222222221</v>
      </c>
      <c r="K51" s="609">
        <f>I51*J51</f>
        <v>2.7600000000000002</v>
      </c>
      <c r="L51" s="813" t="s">
        <v>678</v>
      </c>
      <c r="M51" s="827">
        <f>Y49</f>
        <v>0.54</v>
      </c>
      <c r="N51" s="828"/>
      <c r="O51" s="829"/>
      <c r="P51" s="1014"/>
      <c r="Q51" s="818"/>
      <c r="R51" s="819"/>
      <c r="S51" s="819"/>
      <c r="T51" s="819"/>
      <c r="U51" s="820"/>
      <c r="V51" s="820"/>
      <c r="W51" s="821"/>
      <c r="X51" s="822"/>
      <c r="Y51" s="826"/>
    </row>
    <row r="52" spans="1:25" s="56" customFormat="1" ht="15" customHeight="1">
      <c r="A52" s="19"/>
      <c r="B52" s="57"/>
      <c r="C52" s="19"/>
      <c r="D52" s="19"/>
      <c r="K52" s="58"/>
      <c r="L52" s="19"/>
      <c r="M52" s="19"/>
      <c r="N52" s="19"/>
    </row>
    <row r="53" spans="1:25" s="56" customFormat="1" ht="15" customHeight="1">
      <c r="A53" s="19"/>
      <c r="B53" s="57"/>
      <c r="C53" s="19"/>
      <c r="D53" s="19"/>
      <c r="K53" s="58"/>
      <c r="L53" s="19"/>
      <c r="M53" s="19"/>
      <c r="N53" s="19"/>
    </row>
    <row r="54" spans="1:25" s="56" customFormat="1" ht="15" customHeight="1">
      <c r="A54" s="19"/>
      <c r="B54" s="57"/>
      <c r="C54" s="19"/>
      <c r="D54" s="19"/>
      <c r="I54" s="1010" t="s">
        <v>421</v>
      </c>
      <c r="J54" s="815" t="s">
        <v>708</v>
      </c>
      <c r="K54" s="830" t="s">
        <v>720</v>
      </c>
      <c r="L54" s="19"/>
      <c r="M54" s="19"/>
      <c r="N54" s="19"/>
    </row>
    <row r="55" spans="1:25" s="56" customFormat="1" ht="15" customHeight="1">
      <c r="A55" s="19"/>
      <c r="B55" s="57"/>
      <c r="C55" s="19"/>
      <c r="D55" s="19"/>
      <c r="I55" s="1010"/>
      <c r="J55" s="831">
        <v>6</v>
      </c>
      <c r="K55" s="832">
        <f t="shared" ref="K55:K60" si="22">SUMIF($B$34:$B$51,J55,$K$34:$K$51)</f>
        <v>124.71111111111109</v>
      </c>
      <c r="L55" s="19"/>
      <c r="M55" s="19"/>
      <c r="N55" s="19"/>
    </row>
    <row r="56" spans="1:25" s="56" customFormat="1" ht="15" customHeight="1">
      <c r="A56" s="19"/>
      <c r="B56" s="57"/>
      <c r="C56" s="19"/>
      <c r="D56" s="19"/>
      <c r="I56" s="1010"/>
      <c r="J56" s="831">
        <v>10</v>
      </c>
      <c r="K56" s="832">
        <f t="shared" si="22"/>
        <v>0</v>
      </c>
      <c r="L56" s="19"/>
      <c r="M56" s="19"/>
      <c r="N56" s="19"/>
    </row>
    <row r="57" spans="1:25" s="56" customFormat="1" ht="15" customHeight="1">
      <c r="A57" s="19"/>
      <c r="B57" s="57"/>
      <c r="C57" s="19"/>
      <c r="D57" s="19"/>
      <c r="I57" s="1010"/>
      <c r="J57" s="831">
        <v>12</v>
      </c>
      <c r="K57" s="832">
        <f t="shared" si="22"/>
        <v>0</v>
      </c>
      <c r="L57" s="19"/>
      <c r="M57" s="19"/>
      <c r="N57" s="19"/>
    </row>
    <row r="58" spans="1:25" s="56" customFormat="1" ht="15" customHeight="1">
      <c r="A58" s="19"/>
      <c r="B58" s="57"/>
      <c r="C58" s="19"/>
      <c r="D58" s="19"/>
      <c r="I58" s="1010"/>
      <c r="J58" s="831">
        <v>16</v>
      </c>
      <c r="K58" s="832">
        <f t="shared" si="22"/>
        <v>280.34844444444434</v>
      </c>
      <c r="L58" s="19"/>
      <c r="M58" s="19"/>
      <c r="N58" s="19"/>
    </row>
    <row r="59" spans="1:25" s="56" customFormat="1" ht="15" customHeight="1">
      <c r="A59" s="19"/>
      <c r="B59" s="57"/>
      <c r="C59" s="19"/>
      <c r="D59" s="19"/>
      <c r="I59" s="1010"/>
      <c r="J59" s="831">
        <v>20</v>
      </c>
      <c r="K59" s="832">
        <f t="shared" si="22"/>
        <v>674.66666666666674</v>
      </c>
      <c r="L59" s="19"/>
      <c r="M59" s="19"/>
      <c r="N59" s="19"/>
    </row>
    <row r="60" spans="1:25" s="56" customFormat="1" ht="15" customHeight="1">
      <c r="A60" s="19"/>
      <c r="B60" s="57"/>
      <c r="C60" s="19"/>
      <c r="D60" s="19"/>
      <c r="I60" s="1010"/>
      <c r="J60" s="831">
        <v>25</v>
      </c>
      <c r="K60" s="832">
        <f t="shared" si="22"/>
        <v>0</v>
      </c>
      <c r="L60" s="19"/>
      <c r="M60" s="19"/>
      <c r="N60" s="19"/>
    </row>
    <row r="61" spans="1:25" s="56" customFormat="1" ht="15" customHeight="1">
      <c r="A61" s="19"/>
      <c r="D61" s="19"/>
      <c r="I61" s="1011" t="s">
        <v>721</v>
      </c>
      <c r="J61" s="1011"/>
      <c r="K61" s="833">
        <f>SUM(K55:K60)</f>
        <v>1079.7262222222221</v>
      </c>
      <c r="L61" s="19"/>
      <c r="M61" s="19"/>
      <c r="N61" s="19"/>
    </row>
    <row r="62" spans="1:25" ht="13.5" thickBot="1"/>
    <row r="63" spans="1:25" ht="13.5" thickBot="1">
      <c r="A63" s="1015" t="s">
        <v>723</v>
      </c>
      <c r="B63" s="1016"/>
      <c r="C63" s="1016"/>
      <c r="D63" s="564"/>
      <c r="E63" s="312"/>
      <c r="F63" s="312"/>
      <c r="G63" s="312"/>
      <c r="H63" s="312"/>
      <c r="I63" s="312"/>
      <c r="J63" s="312"/>
      <c r="K63" s="565"/>
      <c r="L63" s="564"/>
      <c r="M63" s="564"/>
      <c r="N63" s="564"/>
      <c r="O63" s="312"/>
      <c r="P63" s="312"/>
      <c r="Q63" s="312"/>
      <c r="R63" s="312"/>
      <c r="S63" s="312"/>
      <c r="T63" s="312"/>
      <c r="U63" s="312"/>
      <c r="V63" s="312"/>
      <c r="W63" s="312"/>
      <c r="X63" s="312"/>
      <c r="Y63" s="566"/>
    </row>
    <row r="65" spans="1:25" s="56" customFormat="1" ht="15" customHeight="1">
      <c r="A65" s="805" t="s">
        <v>707</v>
      </c>
      <c r="B65" s="806" t="s">
        <v>708</v>
      </c>
      <c r="C65" s="806" t="s">
        <v>709</v>
      </c>
      <c r="D65" s="806" t="s">
        <v>710</v>
      </c>
      <c r="E65" s="1017" t="s">
        <v>667</v>
      </c>
      <c r="F65" s="1018"/>
      <c r="G65" s="806" t="s">
        <v>711</v>
      </c>
      <c r="H65" s="806" t="s">
        <v>712</v>
      </c>
      <c r="I65" s="806" t="s">
        <v>713</v>
      </c>
      <c r="J65" s="806" t="s">
        <v>714</v>
      </c>
      <c r="K65" s="808" t="s">
        <v>715</v>
      </c>
      <c r="L65" s="1020"/>
      <c r="M65" s="1021"/>
      <c r="N65" s="1021"/>
      <c r="O65" s="1021"/>
      <c r="P65" s="1021"/>
      <c r="Q65" s="1021"/>
      <c r="R65" s="1021"/>
      <c r="S65" s="1021"/>
      <c r="T65" s="1021"/>
      <c r="U65" s="1021"/>
      <c r="V65" s="1021"/>
      <c r="W65" s="1021"/>
      <c r="X65" s="1021"/>
      <c r="Y65" s="1022"/>
    </row>
    <row r="66" spans="1:25" s="56" customFormat="1" ht="15" customHeight="1">
      <c r="A66" s="562" t="str">
        <f>M66</f>
        <v>C1</v>
      </c>
      <c r="B66" s="806" t="s">
        <v>383</v>
      </c>
      <c r="C66" s="806">
        <f>O68</f>
        <v>3</v>
      </c>
      <c r="D66" s="806" t="s">
        <v>716</v>
      </c>
      <c r="E66" s="809">
        <f>O66</f>
        <v>250</v>
      </c>
      <c r="F66" s="810" t="s">
        <v>666</v>
      </c>
      <c r="G66" s="811">
        <f>O67</f>
        <v>400</v>
      </c>
      <c r="H66" s="812" t="s">
        <v>717</v>
      </c>
      <c r="I66" s="807">
        <f>M67</f>
        <v>5</v>
      </c>
      <c r="J66" s="1019"/>
      <c r="K66" s="1019"/>
      <c r="L66" s="813" t="s">
        <v>452</v>
      </c>
      <c r="M66" s="814" t="s">
        <v>423</v>
      </c>
      <c r="N66" s="815" t="s">
        <v>384</v>
      </c>
      <c r="O66" s="816">
        <v>250</v>
      </c>
      <c r="P66" s="817" t="s">
        <v>382</v>
      </c>
      <c r="Q66" s="817" t="s">
        <v>654</v>
      </c>
      <c r="R66" s="817" t="s">
        <v>384</v>
      </c>
      <c r="S66" s="817" t="s">
        <v>385</v>
      </c>
      <c r="T66" s="817" t="s">
        <v>655</v>
      </c>
      <c r="U66" s="817" t="s">
        <v>656</v>
      </c>
      <c r="V66" s="817" t="s">
        <v>657</v>
      </c>
      <c r="W66" s="817" t="s">
        <v>658</v>
      </c>
      <c r="X66" s="817" t="s">
        <v>659</v>
      </c>
      <c r="Y66" s="817" t="s">
        <v>678</v>
      </c>
    </row>
    <row r="67" spans="1:25" s="56" customFormat="1" ht="15" customHeight="1">
      <c r="A67" s="1007"/>
      <c r="B67" s="610">
        <v>20</v>
      </c>
      <c r="C67" s="612">
        <v>4</v>
      </c>
      <c r="D67" s="546">
        <f>C66*C67*I66</f>
        <v>60</v>
      </c>
      <c r="E67" s="545">
        <v>0</v>
      </c>
      <c r="F67" s="546"/>
      <c r="G67" s="544">
        <f>D67+E67</f>
        <v>60</v>
      </c>
      <c r="H67" s="547">
        <f>((C66/6)*(45*B67)*(I66*C67))/1000</f>
        <v>9</v>
      </c>
      <c r="I67" s="548">
        <f>(G67+H67)</f>
        <v>69</v>
      </c>
      <c r="J67" s="549">
        <f>B67*B67/162</f>
        <v>2.4691358024691357</v>
      </c>
      <c r="K67" s="607">
        <f>I67*J67</f>
        <v>170.37037037037035</v>
      </c>
      <c r="L67" s="813" t="s">
        <v>718</v>
      </c>
      <c r="M67" s="814">
        <v>5</v>
      </c>
      <c r="N67" s="815" t="s">
        <v>385</v>
      </c>
      <c r="O67" s="816">
        <v>400</v>
      </c>
      <c r="P67" s="1012" t="str">
        <f>M66</f>
        <v>C1</v>
      </c>
      <c r="Q67" s="818">
        <f>B69</f>
        <v>6</v>
      </c>
      <c r="R67" s="819">
        <f>O66</f>
        <v>250</v>
      </c>
      <c r="S67" s="819">
        <f>O67</f>
        <v>400</v>
      </c>
      <c r="T67" s="819">
        <v>40</v>
      </c>
      <c r="U67" s="820">
        <f t="shared" ref="U67:U68" si="23">R67-(2*T67)</f>
        <v>170</v>
      </c>
      <c r="V67" s="820">
        <f>S67-(2*T67)</f>
        <v>320</v>
      </c>
      <c r="W67" s="821">
        <f t="shared" ref="W67:W68" si="24">2*(U67+V67)+(2*10*Q67)-(5*2*Q67)</f>
        <v>1040</v>
      </c>
      <c r="X67" s="822">
        <f t="shared" ref="X67:X68" si="25">W67/1000</f>
        <v>1.04</v>
      </c>
      <c r="Y67" s="823">
        <f>SUM(X67:X69)</f>
        <v>1.76</v>
      </c>
    </row>
    <row r="68" spans="1:25" s="56" customFormat="1" ht="15" customHeight="1">
      <c r="A68" s="1008"/>
      <c r="B68" s="610">
        <v>20</v>
      </c>
      <c r="C68" s="612">
        <v>4</v>
      </c>
      <c r="D68" s="552">
        <f>C66*C68*I66</f>
        <v>60</v>
      </c>
      <c r="E68" s="551">
        <v>0</v>
      </c>
      <c r="F68" s="552"/>
      <c r="G68" s="550">
        <f>D68+E68</f>
        <v>60</v>
      </c>
      <c r="H68" s="553">
        <f>((C66/6)*(45*B68)*(I66*C68))/1000</f>
        <v>9</v>
      </c>
      <c r="I68" s="554">
        <f>(G68+H68)</f>
        <v>69</v>
      </c>
      <c r="J68" s="555">
        <f>B68*B68/162</f>
        <v>2.4691358024691357</v>
      </c>
      <c r="K68" s="608">
        <f>I68*J68</f>
        <v>170.37037037037035</v>
      </c>
      <c r="L68" s="813" t="s">
        <v>719</v>
      </c>
      <c r="M68" s="814">
        <v>21</v>
      </c>
      <c r="N68" s="815" t="s">
        <v>383</v>
      </c>
      <c r="O68" s="816">
        <v>3</v>
      </c>
      <c r="P68" s="1013"/>
      <c r="Q68" s="818">
        <f>B69</f>
        <v>6</v>
      </c>
      <c r="R68" s="819">
        <f>R67</f>
        <v>250</v>
      </c>
      <c r="S68" s="825">
        <v>160</v>
      </c>
      <c r="T68" s="819">
        <v>40</v>
      </c>
      <c r="U68" s="820">
        <f t="shared" si="23"/>
        <v>170</v>
      </c>
      <c r="V68" s="820">
        <f>S68</f>
        <v>160</v>
      </c>
      <c r="W68" s="821">
        <f t="shared" si="24"/>
        <v>720</v>
      </c>
      <c r="X68" s="822">
        <f t="shared" si="25"/>
        <v>0.72</v>
      </c>
      <c r="Y68" s="826"/>
    </row>
    <row r="69" spans="1:25" s="56" customFormat="1" ht="15" customHeight="1">
      <c r="A69" s="1009"/>
      <c r="B69" s="610">
        <v>6</v>
      </c>
      <c r="C69" s="611">
        <f>M68</f>
        <v>21</v>
      </c>
      <c r="D69" s="563">
        <f>Y67</f>
        <v>1.76</v>
      </c>
      <c r="E69" s="557">
        <v>0</v>
      </c>
      <c r="F69" s="558"/>
      <c r="G69" s="556">
        <f>D69*C69*I66</f>
        <v>184.8</v>
      </c>
      <c r="H69" s="559"/>
      <c r="I69" s="560">
        <f>G69</f>
        <v>184.8</v>
      </c>
      <c r="J69" s="561">
        <f>B69*B69/162</f>
        <v>0.22222222222222221</v>
      </c>
      <c r="K69" s="609">
        <f>I69*J69</f>
        <v>41.06666666666667</v>
      </c>
      <c r="L69" s="813" t="s">
        <v>678</v>
      </c>
      <c r="M69" s="827">
        <f>Y67</f>
        <v>1.76</v>
      </c>
      <c r="N69" s="828"/>
      <c r="O69" s="829"/>
      <c r="P69" s="1014"/>
      <c r="Q69" s="818"/>
      <c r="R69" s="819"/>
      <c r="S69" s="819"/>
      <c r="T69" s="819"/>
      <c r="U69" s="820"/>
      <c r="V69" s="820"/>
      <c r="W69" s="821"/>
      <c r="X69" s="822"/>
      <c r="Y69" s="826"/>
    </row>
    <row r="70" spans="1:25" s="56" customFormat="1" ht="15" customHeight="1">
      <c r="A70" s="19"/>
      <c r="B70" s="57"/>
      <c r="C70" s="19"/>
      <c r="D70" s="19"/>
      <c r="K70" s="58"/>
      <c r="L70" s="19"/>
      <c r="M70" s="19"/>
      <c r="N70" s="19"/>
    </row>
    <row r="71" spans="1:25" s="56" customFormat="1" ht="15" customHeight="1">
      <c r="A71" s="562" t="str">
        <f>M71</f>
        <v>C2</v>
      </c>
      <c r="B71" s="806" t="s">
        <v>383</v>
      </c>
      <c r="C71" s="806">
        <f>O73</f>
        <v>3</v>
      </c>
      <c r="D71" s="806" t="s">
        <v>716</v>
      </c>
      <c r="E71" s="809">
        <f>O71</f>
        <v>250</v>
      </c>
      <c r="F71" s="810" t="s">
        <v>666</v>
      </c>
      <c r="G71" s="811">
        <f>O72</f>
        <v>400</v>
      </c>
      <c r="H71" s="812" t="s">
        <v>717</v>
      </c>
      <c r="I71" s="807">
        <f>M72</f>
        <v>6</v>
      </c>
      <c r="J71" s="1019"/>
      <c r="K71" s="1019"/>
      <c r="L71" s="813" t="s">
        <v>452</v>
      </c>
      <c r="M71" s="814" t="s">
        <v>424</v>
      </c>
      <c r="N71" s="815" t="s">
        <v>384</v>
      </c>
      <c r="O71" s="816">
        <v>250</v>
      </c>
      <c r="P71" s="817" t="s">
        <v>382</v>
      </c>
      <c r="Q71" s="817" t="s">
        <v>654</v>
      </c>
      <c r="R71" s="817" t="s">
        <v>384</v>
      </c>
      <c r="S71" s="817" t="s">
        <v>385</v>
      </c>
      <c r="T71" s="817" t="s">
        <v>655</v>
      </c>
      <c r="U71" s="817" t="s">
        <v>656</v>
      </c>
      <c r="V71" s="817" t="s">
        <v>657</v>
      </c>
      <c r="W71" s="817" t="s">
        <v>658</v>
      </c>
      <c r="X71" s="817" t="s">
        <v>659</v>
      </c>
      <c r="Y71" s="817" t="s">
        <v>678</v>
      </c>
    </row>
    <row r="72" spans="1:25" s="56" customFormat="1" ht="15" customHeight="1">
      <c r="A72" s="1007"/>
      <c r="B72" s="610">
        <v>16</v>
      </c>
      <c r="C72" s="612">
        <v>4</v>
      </c>
      <c r="D72" s="546">
        <f>C71*C72*I71</f>
        <v>72</v>
      </c>
      <c r="E72" s="545">
        <v>0</v>
      </c>
      <c r="F72" s="546"/>
      <c r="G72" s="544">
        <f>D72+E72</f>
        <v>72</v>
      </c>
      <c r="H72" s="547">
        <f>((C71/6)*(45*B72)*(I71*C72))/1000</f>
        <v>8.64</v>
      </c>
      <c r="I72" s="548">
        <f>(G72+H72)</f>
        <v>80.64</v>
      </c>
      <c r="J72" s="549">
        <f>B72*B72/162</f>
        <v>1.5802469135802468</v>
      </c>
      <c r="K72" s="607">
        <f>I72*J72</f>
        <v>127.43111111111111</v>
      </c>
      <c r="L72" s="813" t="s">
        <v>718</v>
      </c>
      <c r="M72" s="814">
        <v>6</v>
      </c>
      <c r="N72" s="815" t="s">
        <v>385</v>
      </c>
      <c r="O72" s="816">
        <v>400</v>
      </c>
      <c r="P72" s="1012" t="str">
        <f>M71</f>
        <v>C2</v>
      </c>
      <c r="Q72" s="818">
        <f>B74</f>
        <v>6</v>
      </c>
      <c r="R72" s="819">
        <f>O71</f>
        <v>250</v>
      </c>
      <c r="S72" s="819">
        <f>O72</f>
        <v>400</v>
      </c>
      <c r="T72" s="819">
        <v>40</v>
      </c>
      <c r="U72" s="820">
        <f t="shared" ref="U72:U73" si="26">R72-(2*T72)</f>
        <v>170</v>
      </c>
      <c r="V72" s="820">
        <f>S72-(2*T72)</f>
        <v>320</v>
      </c>
      <c r="W72" s="821">
        <f t="shared" ref="W72:W73" si="27">2*(U72+V72)+(2*10*Q72)-(5*2*Q72)</f>
        <v>1040</v>
      </c>
      <c r="X72" s="822">
        <f t="shared" ref="X72:X73" si="28">W72/1000</f>
        <v>1.04</v>
      </c>
      <c r="Y72" s="823">
        <f>SUM(X72:X74)</f>
        <v>1.76</v>
      </c>
    </row>
    <row r="73" spans="1:25" s="56" customFormat="1" ht="15" customHeight="1">
      <c r="A73" s="1008"/>
      <c r="B73" s="610">
        <v>16</v>
      </c>
      <c r="C73" s="612">
        <v>4</v>
      </c>
      <c r="D73" s="552">
        <f>C71*C73*I71</f>
        <v>72</v>
      </c>
      <c r="E73" s="551">
        <v>0</v>
      </c>
      <c r="F73" s="552"/>
      <c r="G73" s="550">
        <f>D73+E73</f>
        <v>72</v>
      </c>
      <c r="H73" s="553">
        <f>((C71/6)*(45*B73)*(I71*C73))/1000</f>
        <v>8.64</v>
      </c>
      <c r="I73" s="554">
        <f>(G73+H73)</f>
        <v>80.64</v>
      </c>
      <c r="J73" s="555">
        <f>B73*B73/162</f>
        <v>1.5802469135802468</v>
      </c>
      <c r="K73" s="608">
        <f>I73*J73</f>
        <v>127.43111111111111</v>
      </c>
      <c r="L73" s="813" t="s">
        <v>719</v>
      </c>
      <c r="M73" s="814">
        <v>21</v>
      </c>
      <c r="N73" s="815" t="s">
        <v>383</v>
      </c>
      <c r="O73" s="816">
        <v>3</v>
      </c>
      <c r="P73" s="1013"/>
      <c r="Q73" s="818">
        <f>B74</f>
        <v>6</v>
      </c>
      <c r="R73" s="819">
        <f>R72</f>
        <v>250</v>
      </c>
      <c r="S73" s="825">
        <v>160</v>
      </c>
      <c r="T73" s="819">
        <v>40</v>
      </c>
      <c r="U73" s="820">
        <f t="shared" si="26"/>
        <v>170</v>
      </c>
      <c r="V73" s="820">
        <f>S73</f>
        <v>160</v>
      </c>
      <c r="W73" s="821">
        <f t="shared" si="27"/>
        <v>720</v>
      </c>
      <c r="X73" s="822">
        <f t="shared" si="28"/>
        <v>0.72</v>
      </c>
      <c r="Y73" s="826"/>
    </row>
    <row r="74" spans="1:25" s="56" customFormat="1" ht="15" customHeight="1">
      <c r="A74" s="1009"/>
      <c r="B74" s="610">
        <v>6</v>
      </c>
      <c r="C74" s="611">
        <f>M73</f>
        <v>21</v>
      </c>
      <c r="D74" s="563">
        <f>Y72</f>
        <v>1.76</v>
      </c>
      <c r="E74" s="557">
        <v>0</v>
      </c>
      <c r="F74" s="558"/>
      <c r="G74" s="556">
        <f>D74*C74*I71</f>
        <v>221.76</v>
      </c>
      <c r="H74" s="559"/>
      <c r="I74" s="560">
        <f>G74</f>
        <v>221.76</v>
      </c>
      <c r="J74" s="561">
        <f>B74*B74/162</f>
        <v>0.22222222222222221</v>
      </c>
      <c r="K74" s="609">
        <f>I74*J74</f>
        <v>49.279999999999994</v>
      </c>
      <c r="L74" s="813" t="s">
        <v>678</v>
      </c>
      <c r="M74" s="827">
        <f>Y72</f>
        <v>1.76</v>
      </c>
      <c r="N74" s="828"/>
      <c r="O74" s="829"/>
      <c r="P74" s="1014"/>
      <c r="Q74" s="818"/>
      <c r="R74" s="819"/>
      <c r="S74" s="819"/>
      <c r="T74" s="819"/>
      <c r="U74" s="820"/>
      <c r="V74" s="820"/>
      <c r="W74" s="821"/>
      <c r="X74" s="822"/>
      <c r="Y74" s="826"/>
    </row>
    <row r="75" spans="1:25" s="56" customFormat="1" ht="15" customHeight="1">
      <c r="A75" s="19"/>
      <c r="B75" s="57"/>
      <c r="C75" s="19"/>
      <c r="D75" s="19"/>
      <c r="K75" s="58"/>
      <c r="L75" s="19"/>
      <c r="M75" s="19"/>
      <c r="N75" s="19"/>
    </row>
    <row r="76" spans="1:25" s="56" customFormat="1" ht="15" customHeight="1">
      <c r="A76" s="562" t="str">
        <f>M76</f>
        <v>C3</v>
      </c>
      <c r="B76" s="806" t="s">
        <v>383</v>
      </c>
      <c r="C76" s="806">
        <f>O78</f>
        <v>3</v>
      </c>
      <c r="D76" s="806" t="s">
        <v>716</v>
      </c>
      <c r="E76" s="809">
        <f>O76</f>
        <v>250</v>
      </c>
      <c r="F76" s="810" t="s">
        <v>666</v>
      </c>
      <c r="G76" s="811">
        <f>O77</f>
        <v>300</v>
      </c>
      <c r="H76" s="812" t="s">
        <v>717</v>
      </c>
      <c r="I76" s="807">
        <f>M77</f>
        <v>3</v>
      </c>
      <c r="J76" s="1019"/>
      <c r="K76" s="1019"/>
      <c r="L76" s="813" t="s">
        <v>452</v>
      </c>
      <c r="M76" s="814" t="s">
        <v>425</v>
      </c>
      <c r="N76" s="815" t="s">
        <v>384</v>
      </c>
      <c r="O76" s="816">
        <v>250</v>
      </c>
      <c r="P76" s="817" t="s">
        <v>382</v>
      </c>
      <c r="Q76" s="817" t="s">
        <v>654</v>
      </c>
      <c r="R76" s="817" t="s">
        <v>384</v>
      </c>
      <c r="S76" s="817" t="s">
        <v>385</v>
      </c>
      <c r="T76" s="817" t="s">
        <v>655</v>
      </c>
      <c r="U76" s="817" t="s">
        <v>656</v>
      </c>
      <c r="V76" s="817" t="s">
        <v>657</v>
      </c>
      <c r="W76" s="817" t="s">
        <v>658</v>
      </c>
      <c r="X76" s="817" t="s">
        <v>659</v>
      </c>
      <c r="Y76" s="817" t="s">
        <v>678</v>
      </c>
    </row>
    <row r="77" spans="1:25" s="56" customFormat="1" ht="15" customHeight="1">
      <c r="A77" s="1007"/>
      <c r="B77" s="610">
        <v>20</v>
      </c>
      <c r="C77" s="612">
        <v>4</v>
      </c>
      <c r="D77" s="546">
        <f>C76*C77*I76</f>
        <v>36</v>
      </c>
      <c r="E77" s="545">
        <v>0</v>
      </c>
      <c r="F77" s="546"/>
      <c r="G77" s="544">
        <f>D77+E77</f>
        <v>36</v>
      </c>
      <c r="H77" s="547">
        <f>((C76/6)*(45*B77)*(I76*C77))/1000</f>
        <v>5.4</v>
      </c>
      <c r="I77" s="548">
        <f>(G77+H77)</f>
        <v>41.4</v>
      </c>
      <c r="J77" s="549">
        <f>B77*B77/162</f>
        <v>2.4691358024691357</v>
      </c>
      <c r="K77" s="607">
        <f>I77*J77</f>
        <v>102.22222222222221</v>
      </c>
      <c r="L77" s="813" t="s">
        <v>718</v>
      </c>
      <c r="M77" s="814">
        <v>3</v>
      </c>
      <c r="N77" s="815" t="s">
        <v>385</v>
      </c>
      <c r="O77" s="816">
        <v>300</v>
      </c>
      <c r="P77" s="1012" t="str">
        <f>M76</f>
        <v>C3</v>
      </c>
      <c r="Q77" s="818">
        <f>B79</f>
        <v>6</v>
      </c>
      <c r="R77" s="819">
        <f>O76</f>
        <v>250</v>
      </c>
      <c r="S77" s="819">
        <f>O77</f>
        <v>300</v>
      </c>
      <c r="T77" s="819">
        <v>40</v>
      </c>
      <c r="U77" s="820">
        <f t="shared" ref="U77:U78" si="29">R77-(2*T77)</f>
        <v>170</v>
      </c>
      <c r="V77" s="820">
        <f>S77-(2*T77)</f>
        <v>220</v>
      </c>
      <c r="W77" s="821">
        <f t="shared" ref="W77:W78" si="30">2*(U77+V77)+(2*10*Q77)-(5*2*Q77)</f>
        <v>840</v>
      </c>
      <c r="X77" s="822">
        <f t="shared" ref="X77:X78" si="31">W77/1000</f>
        <v>0.84</v>
      </c>
      <c r="Y77" s="823">
        <f>SUM(X77:X79)</f>
        <v>1.5</v>
      </c>
    </row>
    <row r="78" spans="1:25" s="56" customFormat="1" ht="15" customHeight="1">
      <c r="A78" s="1008"/>
      <c r="B78" s="610">
        <v>20</v>
      </c>
      <c r="C78" s="612">
        <v>4</v>
      </c>
      <c r="D78" s="552">
        <f>C76*C78*I76</f>
        <v>36</v>
      </c>
      <c r="E78" s="551">
        <v>0</v>
      </c>
      <c r="F78" s="552"/>
      <c r="G78" s="550">
        <f>D78+E78</f>
        <v>36</v>
      </c>
      <c r="H78" s="553">
        <f>((C76/6)*(45*B78)*(I76*C78))/1000</f>
        <v>5.4</v>
      </c>
      <c r="I78" s="554">
        <f>(G78+H78)</f>
        <v>41.4</v>
      </c>
      <c r="J78" s="555">
        <f>B78*B78/162</f>
        <v>2.4691358024691357</v>
      </c>
      <c r="K78" s="608">
        <f>I78*J78</f>
        <v>102.22222222222221</v>
      </c>
      <c r="L78" s="813" t="s">
        <v>719</v>
      </c>
      <c r="M78" s="814">
        <v>21</v>
      </c>
      <c r="N78" s="815" t="s">
        <v>383</v>
      </c>
      <c r="O78" s="816">
        <v>3</v>
      </c>
      <c r="P78" s="1013"/>
      <c r="Q78" s="818">
        <f>B79</f>
        <v>6</v>
      </c>
      <c r="R78" s="819">
        <f>R77</f>
        <v>250</v>
      </c>
      <c r="S78" s="825">
        <v>130</v>
      </c>
      <c r="T78" s="819">
        <v>40</v>
      </c>
      <c r="U78" s="820">
        <f t="shared" si="29"/>
        <v>170</v>
      </c>
      <c r="V78" s="820">
        <f>S78</f>
        <v>130</v>
      </c>
      <c r="W78" s="821">
        <f t="shared" si="30"/>
        <v>660</v>
      </c>
      <c r="X78" s="822">
        <f t="shared" si="31"/>
        <v>0.66</v>
      </c>
      <c r="Y78" s="826"/>
    </row>
    <row r="79" spans="1:25" s="56" customFormat="1" ht="15" customHeight="1">
      <c r="A79" s="1009"/>
      <c r="B79" s="610">
        <v>6</v>
      </c>
      <c r="C79" s="611">
        <f>M78</f>
        <v>21</v>
      </c>
      <c r="D79" s="563">
        <f>Y77</f>
        <v>1.5</v>
      </c>
      <c r="E79" s="557">
        <v>0</v>
      </c>
      <c r="F79" s="558"/>
      <c r="G79" s="556">
        <f>D79*C79*I76</f>
        <v>94.5</v>
      </c>
      <c r="H79" s="559"/>
      <c r="I79" s="560">
        <f>G79</f>
        <v>94.5</v>
      </c>
      <c r="J79" s="561">
        <f>B79*B79/162</f>
        <v>0.22222222222222221</v>
      </c>
      <c r="K79" s="609">
        <f>I79*J79</f>
        <v>21</v>
      </c>
      <c r="L79" s="813" t="s">
        <v>678</v>
      </c>
      <c r="M79" s="827">
        <f>Y77</f>
        <v>1.5</v>
      </c>
      <c r="N79" s="828"/>
      <c r="O79" s="829"/>
      <c r="P79" s="1014"/>
      <c r="Q79" s="818"/>
      <c r="R79" s="819"/>
      <c r="S79" s="819"/>
      <c r="T79" s="819"/>
      <c r="U79" s="820"/>
      <c r="V79" s="820"/>
      <c r="W79" s="821"/>
      <c r="X79" s="822"/>
      <c r="Y79" s="826"/>
    </row>
    <row r="80" spans="1:25" s="56" customFormat="1" ht="15" customHeight="1">
      <c r="A80" s="19"/>
      <c r="B80" s="57"/>
      <c r="C80" s="19"/>
      <c r="D80" s="19"/>
      <c r="K80" s="58"/>
      <c r="L80" s="19"/>
      <c r="M80" s="19"/>
      <c r="N80" s="19"/>
    </row>
    <row r="81" spans="1:25" s="56" customFormat="1" ht="15" customHeight="1">
      <c r="A81" s="19"/>
      <c r="B81" s="57"/>
      <c r="C81" s="19"/>
      <c r="D81" s="19"/>
      <c r="I81" s="1010" t="s">
        <v>421</v>
      </c>
      <c r="J81" s="815" t="s">
        <v>708</v>
      </c>
      <c r="K81" s="830" t="s">
        <v>720</v>
      </c>
      <c r="L81" s="19"/>
      <c r="M81" s="19"/>
      <c r="N81" s="19"/>
    </row>
    <row r="82" spans="1:25" s="56" customFormat="1" ht="15" customHeight="1">
      <c r="A82" s="19"/>
      <c r="B82" s="57"/>
      <c r="C82" s="19"/>
      <c r="D82" s="19"/>
      <c r="I82" s="1010"/>
      <c r="J82" s="831">
        <v>6</v>
      </c>
      <c r="K82" s="832">
        <f t="shared" ref="K82:K87" si="32">SUMIF($B$67:$B$79,J82,$K$67:$K$79)</f>
        <v>111.34666666666666</v>
      </c>
      <c r="L82" s="19"/>
      <c r="M82" s="19"/>
      <c r="N82" s="19"/>
    </row>
    <row r="83" spans="1:25" s="56" customFormat="1" ht="15" customHeight="1">
      <c r="A83" s="19"/>
      <c r="B83" s="57"/>
      <c r="C83" s="19"/>
      <c r="D83" s="19"/>
      <c r="I83" s="1010"/>
      <c r="J83" s="831">
        <v>10</v>
      </c>
      <c r="K83" s="832">
        <f t="shared" si="32"/>
        <v>0</v>
      </c>
      <c r="L83" s="19"/>
      <c r="M83" s="19"/>
      <c r="N83" s="19"/>
    </row>
    <row r="84" spans="1:25" s="56" customFormat="1" ht="15" customHeight="1">
      <c r="A84" s="19"/>
      <c r="B84" s="57"/>
      <c r="C84" s="19"/>
      <c r="D84" s="19"/>
      <c r="I84" s="1010"/>
      <c r="J84" s="831">
        <v>12</v>
      </c>
      <c r="K84" s="832">
        <f t="shared" si="32"/>
        <v>0</v>
      </c>
      <c r="L84" s="19"/>
      <c r="M84" s="19"/>
      <c r="N84" s="19"/>
    </row>
    <row r="85" spans="1:25" s="56" customFormat="1" ht="15" customHeight="1">
      <c r="A85" s="19"/>
      <c r="B85" s="57"/>
      <c r="C85" s="19"/>
      <c r="D85" s="19"/>
      <c r="I85" s="1010"/>
      <c r="J85" s="831">
        <v>16</v>
      </c>
      <c r="K85" s="832">
        <f t="shared" si="32"/>
        <v>254.86222222222221</v>
      </c>
      <c r="L85" s="19"/>
      <c r="M85" s="19"/>
      <c r="N85" s="19"/>
    </row>
    <row r="86" spans="1:25" s="56" customFormat="1" ht="15" customHeight="1">
      <c r="A86" s="19"/>
      <c r="B86" s="57"/>
      <c r="C86" s="19"/>
      <c r="D86" s="19"/>
      <c r="I86" s="1010"/>
      <c r="J86" s="831">
        <v>20</v>
      </c>
      <c r="K86" s="832">
        <f t="shared" si="32"/>
        <v>545.18518518518511</v>
      </c>
      <c r="L86" s="19"/>
      <c r="M86" s="19"/>
      <c r="N86" s="19"/>
    </row>
    <row r="87" spans="1:25" s="56" customFormat="1" ht="15" customHeight="1">
      <c r="A87" s="19"/>
      <c r="B87" s="57"/>
      <c r="C87" s="19"/>
      <c r="D87" s="19"/>
      <c r="I87" s="1010"/>
      <c r="J87" s="831">
        <v>25</v>
      </c>
      <c r="K87" s="832">
        <f t="shared" si="32"/>
        <v>0</v>
      </c>
      <c r="L87" s="19"/>
      <c r="M87" s="19"/>
      <c r="N87" s="19"/>
    </row>
    <row r="88" spans="1:25" s="56" customFormat="1" ht="15" customHeight="1">
      <c r="A88" s="19"/>
      <c r="D88" s="19"/>
      <c r="I88" s="1011" t="s">
        <v>721</v>
      </c>
      <c r="J88" s="1011"/>
      <c r="K88" s="833">
        <f>SUM(K82:K87)</f>
        <v>911.39407407407396</v>
      </c>
      <c r="L88" s="19"/>
      <c r="M88" s="19"/>
      <c r="N88" s="19"/>
    </row>
    <row r="89" spans="1:25" ht="13.5" thickBot="1"/>
    <row r="90" spans="1:25" ht="13.5" thickBot="1">
      <c r="A90" s="1015" t="s">
        <v>469</v>
      </c>
      <c r="B90" s="1016"/>
      <c r="C90" s="1016"/>
      <c r="D90" s="564"/>
      <c r="E90" s="312"/>
      <c r="F90" s="312"/>
      <c r="G90" s="312"/>
      <c r="H90" s="312"/>
      <c r="I90" s="312"/>
      <c r="J90" s="312"/>
      <c r="K90" s="565"/>
      <c r="L90" s="564"/>
      <c r="M90" s="564"/>
      <c r="N90" s="564"/>
      <c r="O90" s="312"/>
      <c r="P90" s="312"/>
      <c r="Q90" s="312"/>
      <c r="R90" s="312"/>
      <c r="S90" s="312"/>
      <c r="T90" s="312"/>
      <c r="U90" s="312"/>
      <c r="V90" s="312"/>
      <c r="W90" s="312"/>
      <c r="X90" s="312"/>
      <c r="Y90" s="566"/>
    </row>
    <row r="92" spans="1:25" s="56" customFormat="1" ht="15" customHeight="1">
      <c r="A92" s="805" t="s">
        <v>707</v>
      </c>
      <c r="B92" s="806" t="s">
        <v>708</v>
      </c>
      <c r="C92" s="806" t="s">
        <v>709</v>
      </c>
      <c r="D92" s="806" t="s">
        <v>710</v>
      </c>
      <c r="E92" s="1017" t="s">
        <v>667</v>
      </c>
      <c r="F92" s="1018"/>
      <c r="G92" s="806" t="s">
        <v>711</v>
      </c>
      <c r="H92" s="806" t="s">
        <v>712</v>
      </c>
      <c r="I92" s="806" t="s">
        <v>713</v>
      </c>
      <c r="J92" s="806" t="s">
        <v>714</v>
      </c>
      <c r="K92" s="808" t="s">
        <v>715</v>
      </c>
      <c r="L92" s="1020"/>
      <c r="M92" s="1021"/>
      <c r="N92" s="1021"/>
      <c r="O92" s="1021"/>
      <c r="P92" s="1021"/>
      <c r="Q92" s="1021"/>
      <c r="R92" s="1021"/>
      <c r="S92" s="1021"/>
      <c r="T92" s="1021"/>
      <c r="U92" s="1021"/>
      <c r="V92" s="1021"/>
      <c r="W92" s="1021"/>
      <c r="X92" s="1021"/>
      <c r="Y92" s="1022"/>
    </row>
    <row r="93" spans="1:25" s="56" customFormat="1" ht="15" customHeight="1">
      <c r="A93" s="562" t="str">
        <f>M93</f>
        <v>C1</v>
      </c>
      <c r="B93" s="806" t="s">
        <v>383</v>
      </c>
      <c r="C93" s="806">
        <f>O95</f>
        <v>3</v>
      </c>
      <c r="D93" s="806" t="s">
        <v>716</v>
      </c>
      <c r="E93" s="809">
        <f>O93</f>
        <v>250</v>
      </c>
      <c r="F93" s="810" t="s">
        <v>666</v>
      </c>
      <c r="G93" s="811">
        <f>O94</f>
        <v>400</v>
      </c>
      <c r="H93" s="812" t="s">
        <v>717</v>
      </c>
      <c r="I93" s="807">
        <f>M94</f>
        <v>5</v>
      </c>
      <c r="J93" s="1019"/>
      <c r="K93" s="1019"/>
      <c r="L93" s="813" t="s">
        <v>452</v>
      </c>
      <c r="M93" s="814" t="s">
        <v>423</v>
      </c>
      <c r="N93" s="815" t="s">
        <v>384</v>
      </c>
      <c r="O93" s="816">
        <v>250</v>
      </c>
      <c r="P93" s="817" t="s">
        <v>382</v>
      </c>
      <c r="Q93" s="817" t="s">
        <v>654</v>
      </c>
      <c r="R93" s="817" t="s">
        <v>384</v>
      </c>
      <c r="S93" s="817" t="s">
        <v>385</v>
      </c>
      <c r="T93" s="817" t="s">
        <v>655</v>
      </c>
      <c r="U93" s="817" t="s">
        <v>656</v>
      </c>
      <c r="V93" s="817" t="s">
        <v>657</v>
      </c>
      <c r="W93" s="817" t="s">
        <v>658</v>
      </c>
      <c r="X93" s="817" t="s">
        <v>659</v>
      </c>
      <c r="Y93" s="817" t="s">
        <v>678</v>
      </c>
    </row>
    <row r="94" spans="1:25" s="56" customFormat="1" ht="15" customHeight="1">
      <c r="A94" s="1007"/>
      <c r="B94" s="610">
        <v>20</v>
      </c>
      <c r="C94" s="612">
        <v>4</v>
      </c>
      <c r="D94" s="546">
        <f>C93*C94*I93</f>
        <v>60</v>
      </c>
      <c r="E94" s="545">
        <v>0</v>
      </c>
      <c r="F94" s="546"/>
      <c r="G94" s="544">
        <f>D94+E94</f>
        <v>60</v>
      </c>
      <c r="H94" s="547">
        <f>((C93/6)*(45*B94)*(I93*C94))/1000</f>
        <v>9</v>
      </c>
      <c r="I94" s="548">
        <f>(G94+H94)</f>
        <v>69</v>
      </c>
      <c r="J94" s="549">
        <f>B94*B94/162</f>
        <v>2.4691358024691357</v>
      </c>
      <c r="K94" s="607">
        <f>I94*J94</f>
        <v>170.37037037037035</v>
      </c>
      <c r="L94" s="813" t="s">
        <v>718</v>
      </c>
      <c r="M94" s="814">
        <v>5</v>
      </c>
      <c r="N94" s="815" t="s">
        <v>385</v>
      </c>
      <c r="O94" s="816">
        <v>400</v>
      </c>
      <c r="P94" s="1012" t="str">
        <f>M93</f>
        <v>C1</v>
      </c>
      <c r="Q94" s="818">
        <f>B96</f>
        <v>6</v>
      </c>
      <c r="R94" s="819">
        <f>O93</f>
        <v>250</v>
      </c>
      <c r="S94" s="819">
        <f>O94</f>
        <v>400</v>
      </c>
      <c r="T94" s="819">
        <v>40</v>
      </c>
      <c r="U94" s="820">
        <f t="shared" ref="U94:U95" si="33">R94-(2*T94)</f>
        <v>170</v>
      </c>
      <c r="V94" s="820">
        <f>S94-(2*T94)</f>
        <v>320</v>
      </c>
      <c r="W94" s="821">
        <f t="shared" ref="W94:W95" si="34">2*(U94+V94)+(2*10*Q94)-(5*2*Q94)</f>
        <v>1040</v>
      </c>
      <c r="X94" s="822">
        <f t="shared" ref="X94:X95" si="35">W94/1000</f>
        <v>1.04</v>
      </c>
      <c r="Y94" s="823">
        <f>SUM(X94:X96)</f>
        <v>1.76</v>
      </c>
    </row>
    <row r="95" spans="1:25" s="56" customFormat="1" ht="15" customHeight="1">
      <c r="A95" s="1008"/>
      <c r="B95" s="610">
        <v>20</v>
      </c>
      <c r="C95" s="612">
        <v>4</v>
      </c>
      <c r="D95" s="552">
        <f>C93*C95*I93</f>
        <v>60</v>
      </c>
      <c r="E95" s="551">
        <v>0</v>
      </c>
      <c r="F95" s="552"/>
      <c r="G95" s="550">
        <f>D95+E95</f>
        <v>60</v>
      </c>
      <c r="H95" s="553">
        <f>((C93/6)*(45*B95)*(I93*C95))/1000</f>
        <v>9</v>
      </c>
      <c r="I95" s="554">
        <f>(G95+H95)</f>
        <v>69</v>
      </c>
      <c r="J95" s="555">
        <f>B95*B95/162</f>
        <v>2.4691358024691357</v>
      </c>
      <c r="K95" s="608">
        <f>I95*J95</f>
        <v>170.37037037037035</v>
      </c>
      <c r="L95" s="813" t="s">
        <v>719</v>
      </c>
      <c r="M95" s="814">
        <v>21</v>
      </c>
      <c r="N95" s="815" t="s">
        <v>383</v>
      </c>
      <c r="O95" s="816">
        <v>3</v>
      </c>
      <c r="P95" s="1013"/>
      <c r="Q95" s="818">
        <f>B96</f>
        <v>6</v>
      </c>
      <c r="R95" s="819">
        <f>R94</f>
        <v>250</v>
      </c>
      <c r="S95" s="825">
        <v>160</v>
      </c>
      <c r="T95" s="819">
        <v>40</v>
      </c>
      <c r="U95" s="820">
        <f t="shared" si="33"/>
        <v>170</v>
      </c>
      <c r="V95" s="820">
        <f>S95</f>
        <v>160</v>
      </c>
      <c r="W95" s="821">
        <f t="shared" si="34"/>
        <v>720</v>
      </c>
      <c r="X95" s="822">
        <f t="shared" si="35"/>
        <v>0.72</v>
      </c>
      <c r="Y95" s="826"/>
    </row>
    <row r="96" spans="1:25" s="56" customFormat="1" ht="15" customHeight="1">
      <c r="A96" s="1009"/>
      <c r="B96" s="610">
        <v>6</v>
      </c>
      <c r="C96" s="611">
        <f>M95</f>
        <v>21</v>
      </c>
      <c r="D96" s="563">
        <f>Y94</f>
        <v>1.76</v>
      </c>
      <c r="E96" s="557">
        <v>0</v>
      </c>
      <c r="F96" s="558"/>
      <c r="G96" s="556">
        <f>D96*C96*I93</f>
        <v>184.8</v>
      </c>
      <c r="H96" s="559"/>
      <c r="I96" s="560">
        <f>G96</f>
        <v>184.8</v>
      </c>
      <c r="J96" s="561">
        <f>B96*B96/162</f>
        <v>0.22222222222222221</v>
      </c>
      <c r="K96" s="609">
        <f>I96*J96</f>
        <v>41.06666666666667</v>
      </c>
      <c r="L96" s="813" t="s">
        <v>678</v>
      </c>
      <c r="M96" s="827">
        <f>Y94</f>
        <v>1.76</v>
      </c>
      <c r="N96" s="828"/>
      <c r="O96" s="829"/>
      <c r="P96" s="1014"/>
      <c r="Q96" s="818"/>
      <c r="R96" s="819"/>
      <c r="S96" s="819"/>
      <c r="T96" s="819"/>
      <c r="U96" s="820"/>
      <c r="V96" s="820"/>
      <c r="W96" s="821"/>
      <c r="X96" s="822"/>
      <c r="Y96" s="826"/>
    </row>
    <row r="97" spans="1:25" s="56" customFormat="1" ht="15" customHeight="1">
      <c r="A97" s="19"/>
      <c r="B97" s="57"/>
      <c r="C97" s="19"/>
      <c r="D97" s="19"/>
      <c r="K97" s="58"/>
      <c r="L97" s="19"/>
      <c r="M97" s="19"/>
      <c r="N97" s="19"/>
    </row>
    <row r="98" spans="1:25" s="56" customFormat="1" ht="15" customHeight="1">
      <c r="A98" s="562" t="str">
        <f>M98</f>
        <v>C2</v>
      </c>
      <c r="B98" s="806" t="s">
        <v>383</v>
      </c>
      <c r="C98" s="806">
        <f>O100</f>
        <v>3</v>
      </c>
      <c r="D98" s="806" t="s">
        <v>716</v>
      </c>
      <c r="E98" s="809">
        <f>O98</f>
        <v>250</v>
      </c>
      <c r="F98" s="810" t="s">
        <v>666</v>
      </c>
      <c r="G98" s="811">
        <f>O99</f>
        <v>400</v>
      </c>
      <c r="H98" s="812" t="s">
        <v>717</v>
      </c>
      <c r="I98" s="807">
        <f>M99</f>
        <v>2</v>
      </c>
      <c r="J98" s="1019"/>
      <c r="K98" s="1019"/>
      <c r="L98" s="813" t="s">
        <v>452</v>
      </c>
      <c r="M98" s="814" t="s">
        <v>424</v>
      </c>
      <c r="N98" s="815" t="s">
        <v>384</v>
      </c>
      <c r="O98" s="816">
        <v>250</v>
      </c>
      <c r="P98" s="817" t="s">
        <v>382</v>
      </c>
      <c r="Q98" s="817" t="s">
        <v>654</v>
      </c>
      <c r="R98" s="817" t="s">
        <v>384</v>
      </c>
      <c r="S98" s="817" t="s">
        <v>385</v>
      </c>
      <c r="T98" s="817" t="s">
        <v>655</v>
      </c>
      <c r="U98" s="817" t="s">
        <v>656</v>
      </c>
      <c r="V98" s="817" t="s">
        <v>657</v>
      </c>
      <c r="W98" s="817" t="s">
        <v>658</v>
      </c>
      <c r="X98" s="817" t="s">
        <v>659</v>
      </c>
      <c r="Y98" s="817" t="s">
        <v>678</v>
      </c>
    </row>
    <row r="99" spans="1:25" s="56" customFormat="1" ht="15" customHeight="1">
      <c r="A99" s="1007"/>
      <c r="B99" s="610">
        <v>16</v>
      </c>
      <c r="C99" s="612">
        <v>4</v>
      </c>
      <c r="D99" s="546">
        <f>C98*C99*I98</f>
        <v>24</v>
      </c>
      <c r="E99" s="545">
        <v>0</v>
      </c>
      <c r="F99" s="546"/>
      <c r="G99" s="544">
        <f>D99+E99</f>
        <v>24</v>
      </c>
      <c r="H99" s="547">
        <f>((C98/6)*(45*B99)*(I98*C99))/1000</f>
        <v>2.88</v>
      </c>
      <c r="I99" s="548">
        <f>(G99+H99)</f>
        <v>26.88</v>
      </c>
      <c r="J99" s="549">
        <f>B99*B99/162</f>
        <v>1.5802469135802468</v>
      </c>
      <c r="K99" s="607">
        <f>I99*J99</f>
        <v>42.477037037037036</v>
      </c>
      <c r="L99" s="813" t="s">
        <v>718</v>
      </c>
      <c r="M99" s="814">
        <v>2</v>
      </c>
      <c r="N99" s="815" t="s">
        <v>385</v>
      </c>
      <c r="O99" s="816">
        <v>400</v>
      </c>
      <c r="P99" s="1012" t="str">
        <f>M98</f>
        <v>C2</v>
      </c>
      <c r="Q99" s="818">
        <f>B101</f>
        <v>6</v>
      </c>
      <c r="R99" s="819">
        <f>O98</f>
        <v>250</v>
      </c>
      <c r="S99" s="819">
        <f>O99</f>
        <v>400</v>
      </c>
      <c r="T99" s="819">
        <v>40</v>
      </c>
      <c r="U99" s="820">
        <f t="shared" ref="U99:U100" si="36">R99-(2*T99)</f>
        <v>170</v>
      </c>
      <c r="V99" s="820">
        <f>S99-(2*T99)</f>
        <v>320</v>
      </c>
      <c r="W99" s="821">
        <f t="shared" ref="W99:W100" si="37">2*(U99+V99)+(2*10*Q99)-(5*2*Q99)</f>
        <v>1040</v>
      </c>
      <c r="X99" s="822">
        <f t="shared" ref="X99:X100" si="38">W99/1000</f>
        <v>1.04</v>
      </c>
      <c r="Y99" s="823">
        <f>SUM(X99:X101)</f>
        <v>1.76</v>
      </c>
    </row>
    <row r="100" spans="1:25" s="56" customFormat="1" ht="15" customHeight="1">
      <c r="A100" s="1008"/>
      <c r="B100" s="610">
        <v>16</v>
      </c>
      <c r="C100" s="612">
        <v>4</v>
      </c>
      <c r="D100" s="552">
        <f>C98*C100*I98</f>
        <v>24</v>
      </c>
      <c r="E100" s="551">
        <v>0</v>
      </c>
      <c r="F100" s="552"/>
      <c r="G100" s="550">
        <f>D100+E100</f>
        <v>24</v>
      </c>
      <c r="H100" s="553">
        <f>((C98/6)*(45*B100)*(I98*C100))/1000</f>
        <v>2.88</v>
      </c>
      <c r="I100" s="554">
        <f>(G100+H100)</f>
        <v>26.88</v>
      </c>
      <c r="J100" s="555">
        <f>B100*B100/162</f>
        <v>1.5802469135802468</v>
      </c>
      <c r="K100" s="608">
        <f>I100*J100</f>
        <v>42.477037037037036</v>
      </c>
      <c r="L100" s="813" t="s">
        <v>719</v>
      </c>
      <c r="M100" s="814">
        <v>21</v>
      </c>
      <c r="N100" s="815" t="s">
        <v>383</v>
      </c>
      <c r="O100" s="816">
        <v>3</v>
      </c>
      <c r="P100" s="1013"/>
      <c r="Q100" s="818">
        <f>B101</f>
        <v>6</v>
      </c>
      <c r="R100" s="819">
        <f>R99</f>
        <v>250</v>
      </c>
      <c r="S100" s="825">
        <v>160</v>
      </c>
      <c r="T100" s="819">
        <v>40</v>
      </c>
      <c r="U100" s="820">
        <f t="shared" si="36"/>
        <v>170</v>
      </c>
      <c r="V100" s="820">
        <f>S100</f>
        <v>160</v>
      </c>
      <c r="W100" s="821">
        <f t="shared" si="37"/>
        <v>720</v>
      </c>
      <c r="X100" s="822">
        <f t="shared" si="38"/>
        <v>0.72</v>
      </c>
      <c r="Y100" s="826"/>
    </row>
    <row r="101" spans="1:25" s="56" customFormat="1" ht="15" customHeight="1">
      <c r="A101" s="1009"/>
      <c r="B101" s="610">
        <v>6</v>
      </c>
      <c r="C101" s="611">
        <f>M100</f>
        <v>21</v>
      </c>
      <c r="D101" s="563">
        <f>Y99</f>
        <v>1.76</v>
      </c>
      <c r="E101" s="557">
        <v>0</v>
      </c>
      <c r="F101" s="558"/>
      <c r="G101" s="556">
        <f>D101*C101*I98</f>
        <v>73.92</v>
      </c>
      <c r="H101" s="559"/>
      <c r="I101" s="560">
        <f>G101</f>
        <v>73.92</v>
      </c>
      <c r="J101" s="561">
        <f>B101*B101/162</f>
        <v>0.22222222222222221</v>
      </c>
      <c r="K101" s="609">
        <f>I101*J101</f>
        <v>16.426666666666666</v>
      </c>
      <c r="L101" s="813" t="s">
        <v>678</v>
      </c>
      <c r="M101" s="827">
        <f>Y99</f>
        <v>1.76</v>
      </c>
      <c r="N101" s="828"/>
      <c r="O101" s="829"/>
      <c r="P101" s="1014"/>
      <c r="Q101" s="818"/>
      <c r="R101" s="819"/>
      <c r="S101" s="819"/>
      <c r="T101" s="819"/>
      <c r="U101" s="820"/>
      <c r="V101" s="820"/>
      <c r="W101" s="821"/>
      <c r="X101" s="822"/>
      <c r="Y101" s="826"/>
    </row>
    <row r="102" spans="1:25" s="56" customFormat="1" ht="15" customHeight="1">
      <c r="A102" s="19"/>
      <c r="B102" s="57"/>
      <c r="C102" s="19"/>
      <c r="D102" s="19"/>
      <c r="K102" s="58"/>
      <c r="L102" s="19"/>
      <c r="M102" s="19"/>
      <c r="N102" s="19"/>
    </row>
    <row r="103" spans="1:25" s="56" customFormat="1" ht="15" customHeight="1">
      <c r="A103" s="562" t="str">
        <f>M103</f>
        <v>C3</v>
      </c>
      <c r="B103" s="806" t="s">
        <v>383</v>
      </c>
      <c r="C103" s="806">
        <f>O105</f>
        <v>3</v>
      </c>
      <c r="D103" s="806" t="s">
        <v>716</v>
      </c>
      <c r="E103" s="809">
        <f>O103</f>
        <v>250</v>
      </c>
      <c r="F103" s="810" t="s">
        <v>666</v>
      </c>
      <c r="G103" s="811">
        <f>O104</f>
        <v>300</v>
      </c>
      <c r="H103" s="812" t="s">
        <v>717</v>
      </c>
      <c r="I103" s="807">
        <f>M104</f>
        <v>3</v>
      </c>
      <c r="J103" s="1019"/>
      <c r="K103" s="1019"/>
      <c r="L103" s="813" t="s">
        <v>452</v>
      </c>
      <c r="M103" s="814" t="s">
        <v>425</v>
      </c>
      <c r="N103" s="815" t="s">
        <v>384</v>
      </c>
      <c r="O103" s="816">
        <v>250</v>
      </c>
      <c r="P103" s="817" t="s">
        <v>382</v>
      </c>
      <c r="Q103" s="817" t="s">
        <v>654</v>
      </c>
      <c r="R103" s="817" t="s">
        <v>384</v>
      </c>
      <c r="S103" s="817" t="s">
        <v>385</v>
      </c>
      <c r="T103" s="817" t="s">
        <v>655</v>
      </c>
      <c r="U103" s="817" t="s">
        <v>656</v>
      </c>
      <c r="V103" s="817" t="s">
        <v>657</v>
      </c>
      <c r="W103" s="817" t="s">
        <v>658</v>
      </c>
      <c r="X103" s="817" t="s">
        <v>659</v>
      </c>
      <c r="Y103" s="817" t="s">
        <v>678</v>
      </c>
    </row>
    <row r="104" spans="1:25" s="56" customFormat="1" ht="15" customHeight="1">
      <c r="A104" s="1007"/>
      <c r="B104" s="610">
        <v>20</v>
      </c>
      <c r="C104" s="612">
        <v>4</v>
      </c>
      <c r="D104" s="546">
        <f>C103*C104*I103</f>
        <v>36</v>
      </c>
      <c r="E104" s="545">
        <v>0</v>
      </c>
      <c r="F104" s="546"/>
      <c r="G104" s="544">
        <f>D104+E104</f>
        <v>36</v>
      </c>
      <c r="H104" s="547">
        <f>((C103/6)*(45*B104)*(I103*C104))/1000</f>
        <v>5.4</v>
      </c>
      <c r="I104" s="548">
        <f>(G104+H104)</f>
        <v>41.4</v>
      </c>
      <c r="J104" s="549">
        <f>B104*B104/162</f>
        <v>2.4691358024691357</v>
      </c>
      <c r="K104" s="607">
        <f>I104*J104</f>
        <v>102.22222222222221</v>
      </c>
      <c r="L104" s="813" t="s">
        <v>718</v>
      </c>
      <c r="M104" s="814">
        <v>3</v>
      </c>
      <c r="N104" s="815" t="s">
        <v>385</v>
      </c>
      <c r="O104" s="816">
        <v>300</v>
      </c>
      <c r="P104" s="1012" t="str">
        <f>M103</f>
        <v>C3</v>
      </c>
      <c r="Q104" s="818">
        <f>B106</f>
        <v>6</v>
      </c>
      <c r="R104" s="819">
        <f>O103</f>
        <v>250</v>
      </c>
      <c r="S104" s="819">
        <f>O104</f>
        <v>300</v>
      </c>
      <c r="T104" s="819">
        <v>40</v>
      </c>
      <c r="U104" s="820">
        <f t="shared" ref="U104:U105" si="39">R104-(2*T104)</f>
        <v>170</v>
      </c>
      <c r="V104" s="820">
        <f>S104-(2*T104)</f>
        <v>220</v>
      </c>
      <c r="W104" s="821">
        <f t="shared" ref="W104:W105" si="40">2*(U104+V104)+(2*10*Q104)-(5*2*Q104)</f>
        <v>840</v>
      </c>
      <c r="X104" s="822">
        <f t="shared" ref="X104:X105" si="41">W104/1000</f>
        <v>0.84</v>
      </c>
      <c r="Y104" s="823">
        <f>SUM(X104:X106)</f>
        <v>1.5</v>
      </c>
    </row>
    <row r="105" spans="1:25" s="56" customFormat="1" ht="15" customHeight="1">
      <c r="A105" s="1008"/>
      <c r="B105" s="610">
        <v>20</v>
      </c>
      <c r="C105" s="612">
        <v>4</v>
      </c>
      <c r="D105" s="552">
        <f>C103*C105*I103</f>
        <v>36</v>
      </c>
      <c r="E105" s="551">
        <v>0</v>
      </c>
      <c r="F105" s="552"/>
      <c r="G105" s="550">
        <f>D105+E105</f>
        <v>36</v>
      </c>
      <c r="H105" s="553">
        <f>((C103/6)*(45*B105)*(I103*C105))/1000</f>
        <v>5.4</v>
      </c>
      <c r="I105" s="554">
        <f>(G105+H105)</f>
        <v>41.4</v>
      </c>
      <c r="J105" s="555">
        <f>B105*B105/162</f>
        <v>2.4691358024691357</v>
      </c>
      <c r="K105" s="608">
        <f>I105*J105</f>
        <v>102.22222222222221</v>
      </c>
      <c r="L105" s="813" t="s">
        <v>719</v>
      </c>
      <c r="M105" s="814">
        <v>21</v>
      </c>
      <c r="N105" s="815" t="s">
        <v>383</v>
      </c>
      <c r="O105" s="816">
        <v>3</v>
      </c>
      <c r="P105" s="1013"/>
      <c r="Q105" s="818">
        <f>B106</f>
        <v>6</v>
      </c>
      <c r="R105" s="819">
        <f>R104</f>
        <v>250</v>
      </c>
      <c r="S105" s="825">
        <v>130</v>
      </c>
      <c r="T105" s="819">
        <v>40</v>
      </c>
      <c r="U105" s="820">
        <f t="shared" si="39"/>
        <v>170</v>
      </c>
      <c r="V105" s="820">
        <f>S105</f>
        <v>130</v>
      </c>
      <c r="W105" s="821">
        <f t="shared" si="40"/>
        <v>660</v>
      </c>
      <c r="X105" s="822">
        <f t="shared" si="41"/>
        <v>0.66</v>
      </c>
      <c r="Y105" s="826"/>
    </row>
    <row r="106" spans="1:25" s="56" customFormat="1" ht="15" customHeight="1">
      <c r="A106" s="1009"/>
      <c r="B106" s="610">
        <v>6</v>
      </c>
      <c r="C106" s="611">
        <f>M105</f>
        <v>21</v>
      </c>
      <c r="D106" s="563">
        <f>Y104</f>
        <v>1.5</v>
      </c>
      <c r="E106" s="557">
        <v>0</v>
      </c>
      <c r="F106" s="558"/>
      <c r="G106" s="556">
        <f>D106*C106*I103</f>
        <v>94.5</v>
      </c>
      <c r="H106" s="559"/>
      <c r="I106" s="560">
        <f>G106</f>
        <v>94.5</v>
      </c>
      <c r="J106" s="561">
        <f>B106*B106/162</f>
        <v>0.22222222222222221</v>
      </c>
      <c r="K106" s="609">
        <f>I106*J106</f>
        <v>21</v>
      </c>
      <c r="L106" s="813" t="s">
        <v>678</v>
      </c>
      <c r="M106" s="827">
        <f>Y104</f>
        <v>1.5</v>
      </c>
      <c r="N106" s="828"/>
      <c r="O106" s="829"/>
      <c r="P106" s="1014"/>
      <c r="Q106" s="818"/>
      <c r="R106" s="819"/>
      <c r="S106" s="819"/>
      <c r="T106" s="819"/>
      <c r="U106" s="820"/>
      <c r="V106" s="820"/>
      <c r="W106" s="821"/>
      <c r="X106" s="822"/>
      <c r="Y106" s="826"/>
    </row>
    <row r="107" spans="1:25" s="56" customFormat="1" ht="15" customHeight="1">
      <c r="A107" s="19"/>
      <c r="B107" s="57"/>
      <c r="C107" s="19"/>
      <c r="D107" s="19"/>
      <c r="K107" s="58"/>
      <c r="L107" s="19"/>
      <c r="M107" s="19"/>
      <c r="N107" s="19"/>
    </row>
    <row r="108" spans="1:25" s="56" customFormat="1" ht="15" customHeight="1">
      <c r="A108" s="562" t="str">
        <f>M108</f>
        <v>PC1</v>
      </c>
      <c r="B108" s="806" t="s">
        <v>383</v>
      </c>
      <c r="C108" s="806">
        <f>O110</f>
        <v>3</v>
      </c>
      <c r="D108" s="806" t="s">
        <v>716</v>
      </c>
      <c r="E108" s="809">
        <f>O108</f>
        <v>200</v>
      </c>
      <c r="F108" s="810" t="s">
        <v>666</v>
      </c>
      <c r="G108" s="811">
        <f>O109</f>
        <v>200</v>
      </c>
      <c r="H108" s="812" t="s">
        <v>717</v>
      </c>
      <c r="I108" s="807">
        <f>M109</f>
        <v>1</v>
      </c>
      <c r="J108" s="1019"/>
      <c r="K108" s="1019"/>
      <c r="L108" s="813" t="s">
        <v>452</v>
      </c>
      <c r="M108" s="814" t="s">
        <v>724</v>
      </c>
      <c r="N108" s="815" t="s">
        <v>384</v>
      </c>
      <c r="O108" s="816">
        <v>200</v>
      </c>
      <c r="P108" s="817" t="s">
        <v>382</v>
      </c>
      <c r="Q108" s="817" t="s">
        <v>654</v>
      </c>
      <c r="R108" s="817" t="s">
        <v>384</v>
      </c>
      <c r="S108" s="817" t="s">
        <v>385</v>
      </c>
      <c r="T108" s="817" t="s">
        <v>655</v>
      </c>
      <c r="U108" s="817" t="s">
        <v>656</v>
      </c>
      <c r="V108" s="817" t="s">
        <v>657</v>
      </c>
      <c r="W108" s="817" t="s">
        <v>658</v>
      </c>
      <c r="X108" s="817" t="s">
        <v>659</v>
      </c>
      <c r="Y108" s="817" t="s">
        <v>678</v>
      </c>
    </row>
    <row r="109" spans="1:25" s="56" customFormat="1" ht="15" customHeight="1">
      <c r="A109" s="1007"/>
      <c r="B109" s="610">
        <v>20</v>
      </c>
      <c r="C109" s="612">
        <v>4</v>
      </c>
      <c r="D109" s="546">
        <f>C108*C109*I108</f>
        <v>12</v>
      </c>
      <c r="E109" s="545">
        <v>0</v>
      </c>
      <c r="F109" s="546"/>
      <c r="G109" s="544">
        <f>D109+E109</f>
        <v>12</v>
      </c>
      <c r="H109" s="547">
        <f>((C108/6)*(45*B109)*(I108*C109))/1000</f>
        <v>1.8</v>
      </c>
      <c r="I109" s="548">
        <f>(G109+H109)</f>
        <v>13.8</v>
      </c>
      <c r="J109" s="549">
        <f>B109*B109/162</f>
        <v>2.4691358024691357</v>
      </c>
      <c r="K109" s="607">
        <f>I109*J109</f>
        <v>34.074074074074076</v>
      </c>
      <c r="L109" s="813" t="s">
        <v>718</v>
      </c>
      <c r="M109" s="814">
        <v>1</v>
      </c>
      <c r="N109" s="815" t="s">
        <v>385</v>
      </c>
      <c r="O109" s="816">
        <v>200</v>
      </c>
      <c r="P109" s="1012" t="str">
        <f>M108</f>
        <v>PC1</v>
      </c>
      <c r="Q109" s="818">
        <f>B111</f>
        <v>6</v>
      </c>
      <c r="R109" s="819">
        <f>O108</f>
        <v>200</v>
      </c>
      <c r="S109" s="819">
        <f>O109</f>
        <v>200</v>
      </c>
      <c r="T109" s="819">
        <v>40</v>
      </c>
      <c r="U109" s="820">
        <f t="shared" ref="U109" si="42">R109-(2*T109)</f>
        <v>120</v>
      </c>
      <c r="V109" s="820">
        <f>S109-(2*T109)</f>
        <v>120</v>
      </c>
      <c r="W109" s="821">
        <f t="shared" ref="W109" si="43">2*(U109+V109)+(2*10*Q109)-(5*2*Q109)</f>
        <v>540</v>
      </c>
      <c r="X109" s="822">
        <f t="shared" ref="X109" si="44">W109/1000</f>
        <v>0.54</v>
      </c>
      <c r="Y109" s="823">
        <f>SUM(X109:X111)</f>
        <v>0.54</v>
      </c>
    </row>
    <row r="110" spans="1:25" s="56" customFormat="1" ht="15" customHeight="1">
      <c r="A110" s="1008"/>
      <c r="B110" s="610">
        <v>20</v>
      </c>
      <c r="C110" s="612">
        <v>4</v>
      </c>
      <c r="D110" s="552">
        <f>C108*C110*I108</f>
        <v>12</v>
      </c>
      <c r="E110" s="551">
        <v>0</v>
      </c>
      <c r="F110" s="552"/>
      <c r="G110" s="550">
        <f>D110+E110</f>
        <v>12</v>
      </c>
      <c r="H110" s="553">
        <f>((C108/6)*(45*B110)*(I108*C110))/1000</f>
        <v>1.8</v>
      </c>
      <c r="I110" s="554">
        <f>(G110+H110)</f>
        <v>13.8</v>
      </c>
      <c r="J110" s="555">
        <f>B110*B110/162</f>
        <v>2.4691358024691357</v>
      </c>
      <c r="K110" s="608">
        <f>I110*J110</f>
        <v>34.074074074074076</v>
      </c>
      <c r="L110" s="813" t="s">
        <v>719</v>
      </c>
      <c r="M110" s="814">
        <v>21</v>
      </c>
      <c r="N110" s="815" t="s">
        <v>383</v>
      </c>
      <c r="O110" s="816">
        <v>3</v>
      </c>
      <c r="P110" s="1013"/>
      <c r="Q110" s="818"/>
      <c r="R110" s="819"/>
      <c r="S110" s="819"/>
      <c r="T110" s="819"/>
      <c r="U110" s="820"/>
      <c r="V110" s="820"/>
      <c r="W110" s="821"/>
      <c r="X110" s="822"/>
      <c r="Y110" s="826"/>
    </row>
    <row r="111" spans="1:25" s="56" customFormat="1" ht="15" customHeight="1">
      <c r="A111" s="1009"/>
      <c r="B111" s="610">
        <v>6</v>
      </c>
      <c r="C111" s="611">
        <f>M110</f>
        <v>21</v>
      </c>
      <c r="D111" s="563">
        <f>Y109</f>
        <v>0.54</v>
      </c>
      <c r="E111" s="557">
        <v>0</v>
      </c>
      <c r="F111" s="558"/>
      <c r="G111" s="556">
        <f>D111*C111*I108</f>
        <v>11.34</v>
      </c>
      <c r="H111" s="559"/>
      <c r="I111" s="560">
        <f>G111</f>
        <v>11.34</v>
      </c>
      <c r="J111" s="561">
        <f>B111*B111/162</f>
        <v>0.22222222222222221</v>
      </c>
      <c r="K111" s="609">
        <f>I111*J111</f>
        <v>2.52</v>
      </c>
      <c r="L111" s="813" t="s">
        <v>678</v>
      </c>
      <c r="M111" s="827">
        <f>Y109</f>
        <v>0.54</v>
      </c>
      <c r="N111" s="828"/>
      <c r="O111" s="829"/>
      <c r="P111" s="1014"/>
      <c r="Q111" s="818"/>
      <c r="R111" s="819"/>
      <c r="S111" s="819"/>
      <c r="T111" s="819"/>
      <c r="U111" s="820"/>
      <c r="V111" s="820"/>
      <c r="W111" s="821"/>
      <c r="X111" s="822"/>
      <c r="Y111" s="826"/>
    </row>
    <row r="112" spans="1:25" s="56" customFormat="1" ht="15" customHeight="1">
      <c r="A112" s="19"/>
      <c r="B112" s="57"/>
      <c r="C112" s="19"/>
      <c r="D112" s="19"/>
      <c r="K112" s="58"/>
      <c r="L112" s="19"/>
      <c r="M112" s="19"/>
      <c r="N112" s="19"/>
    </row>
    <row r="113" spans="1:14" s="56" customFormat="1" ht="15" customHeight="1">
      <c r="A113" s="19"/>
      <c r="B113" s="57"/>
      <c r="C113" s="19"/>
      <c r="D113" s="19"/>
      <c r="K113" s="58"/>
      <c r="L113" s="19"/>
      <c r="M113" s="19"/>
      <c r="N113" s="19"/>
    </row>
    <row r="114" spans="1:14" s="56" customFormat="1" ht="15" customHeight="1">
      <c r="A114" s="19"/>
      <c r="B114" s="57"/>
      <c r="C114" s="19"/>
      <c r="D114" s="19"/>
      <c r="I114" s="1010" t="s">
        <v>421</v>
      </c>
      <c r="J114" s="815" t="s">
        <v>708</v>
      </c>
      <c r="K114" s="830" t="s">
        <v>720</v>
      </c>
      <c r="L114" s="19"/>
      <c r="M114" s="19"/>
      <c r="N114" s="19"/>
    </row>
    <row r="115" spans="1:14" s="56" customFormat="1" ht="15" customHeight="1">
      <c r="A115" s="19"/>
      <c r="B115" s="57"/>
      <c r="C115" s="19"/>
      <c r="D115" s="19"/>
      <c r="I115" s="1010"/>
      <c r="J115" s="831">
        <v>6</v>
      </c>
      <c r="K115" s="832">
        <f t="shared" ref="K115:K120" si="45">SUMIF($B$94:$B$111,J115,$K$94:$K$111)</f>
        <v>81.013333333333335</v>
      </c>
      <c r="L115" s="19"/>
      <c r="M115" s="19"/>
      <c r="N115" s="19"/>
    </row>
    <row r="116" spans="1:14" s="56" customFormat="1" ht="15" customHeight="1">
      <c r="A116" s="19"/>
      <c r="B116" s="57"/>
      <c r="C116" s="19"/>
      <c r="D116" s="19"/>
      <c r="I116" s="1010"/>
      <c r="J116" s="831">
        <v>10</v>
      </c>
      <c r="K116" s="832">
        <f t="shared" si="45"/>
        <v>0</v>
      </c>
      <c r="L116" s="19"/>
      <c r="M116" s="19"/>
      <c r="N116" s="19"/>
    </row>
    <row r="117" spans="1:14" s="56" customFormat="1" ht="15" customHeight="1">
      <c r="A117" s="19"/>
      <c r="B117" s="57"/>
      <c r="C117" s="19"/>
      <c r="D117" s="19"/>
      <c r="I117" s="1010"/>
      <c r="J117" s="831">
        <v>12</v>
      </c>
      <c r="K117" s="832">
        <f t="shared" si="45"/>
        <v>0</v>
      </c>
      <c r="L117" s="19"/>
      <c r="M117" s="19"/>
      <c r="N117" s="19"/>
    </row>
    <row r="118" spans="1:14" s="56" customFormat="1" ht="15" customHeight="1">
      <c r="A118" s="19"/>
      <c r="B118" s="57"/>
      <c r="C118" s="19"/>
      <c r="D118" s="19"/>
      <c r="I118" s="1010"/>
      <c r="J118" s="831">
        <v>16</v>
      </c>
      <c r="K118" s="832">
        <f t="shared" si="45"/>
        <v>84.954074074074072</v>
      </c>
      <c r="L118" s="19"/>
      <c r="M118" s="19"/>
      <c r="N118" s="19"/>
    </row>
    <row r="119" spans="1:14" s="56" customFormat="1" ht="15" customHeight="1">
      <c r="A119" s="19"/>
      <c r="B119" s="57"/>
      <c r="C119" s="19"/>
      <c r="D119" s="19"/>
      <c r="I119" s="1010"/>
      <c r="J119" s="831">
        <v>20</v>
      </c>
      <c r="K119" s="832">
        <f t="shared" si="45"/>
        <v>613.33333333333326</v>
      </c>
      <c r="L119" s="19"/>
      <c r="M119" s="19"/>
      <c r="N119" s="19"/>
    </row>
    <row r="120" spans="1:14" s="56" customFormat="1" ht="15" customHeight="1">
      <c r="A120" s="19"/>
      <c r="B120" s="57"/>
      <c r="C120" s="19"/>
      <c r="D120" s="19"/>
      <c r="I120" s="1010"/>
      <c r="J120" s="831">
        <v>25</v>
      </c>
      <c r="K120" s="832">
        <f t="shared" si="45"/>
        <v>0</v>
      </c>
      <c r="L120" s="19"/>
      <c r="M120" s="19"/>
      <c r="N120" s="19"/>
    </row>
    <row r="121" spans="1:14" s="56" customFormat="1" ht="15" customHeight="1">
      <c r="A121" s="19"/>
      <c r="D121" s="19"/>
      <c r="I121" s="1011" t="s">
        <v>721</v>
      </c>
      <c r="J121" s="1011"/>
      <c r="K121" s="833">
        <f>SUM(K115:K120)</f>
        <v>779.30074074074059</v>
      </c>
      <c r="L121" s="19"/>
      <c r="M121" s="19"/>
      <c r="N121" s="19"/>
    </row>
  </sheetData>
  <mergeCells count="63">
    <mergeCell ref="J103:K103"/>
    <mergeCell ref="A104:A106"/>
    <mergeCell ref="P104:P106"/>
    <mergeCell ref="J16:K16"/>
    <mergeCell ref="P44:P46"/>
    <mergeCell ref="J98:K98"/>
    <mergeCell ref="A99:A101"/>
    <mergeCell ref="P99:P101"/>
    <mergeCell ref="P77:P79"/>
    <mergeCell ref="I81:I87"/>
    <mergeCell ref="P67:P69"/>
    <mergeCell ref="J71:K71"/>
    <mergeCell ref="A72:A74"/>
    <mergeCell ref="P72:P74"/>
    <mergeCell ref="J76:K76"/>
    <mergeCell ref="A1:M1"/>
    <mergeCell ref="A30:C30"/>
    <mergeCell ref="E32:F32"/>
    <mergeCell ref="L32:Y32"/>
    <mergeCell ref="J33:K33"/>
    <mergeCell ref="A3:C3"/>
    <mergeCell ref="L5:Y5"/>
    <mergeCell ref="J6:K6"/>
    <mergeCell ref="A7:A9"/>
    <mergeCell ref="P7:P9"/>
    <mergeCell ref="A17:A19"/>
    <mergeCell ref="P17:P19"/>
    <mergeCell ref="E5:F5"/>
    <mergeCell ref="J11:K11"/>
    <mergeCell ref="A12:A14"/>
    <mergeCell ref="P12:P14"/>
    <mergeCell ref="P109:P111"/>
    <mergeCell ref="I21:I27"/>
    <mergeCell ref="I28:J28"/>
    <mergeCell ref="J38:K38"/>
    <mergeCell ref="J43:K43"/>
    <mergeCell ref="J48:K48"/>
    <mergeCell ref="I54:I60"/>
    <mergeCell ref="I61:J61"/>
    <mergeCell ref="J66:K66"/>
    <mergeCell ref="P49:P51"/>
    <mergeCell ref="L65:Y65"/>
    <mergeCell ref="I88:J88"/>
    <mergeCell ref="L92:Y92"/>
    <mergeCell ref="J93:K93"/>
    <mergeCell ref="P94:P96"/>
    <mergeCell ref="J108:K108"/>
    <mergeCell ref="A109:A111"/>
    <mergeCell ref="I114:I120"/>
    <mergeCell ref="I121:J121"/>
    <mergeCell ref="A34:A36"/>
    <mergeCell ref="P34:P36"/>
    <mergeCell ref="A39:A41"/>
    <mergeCell ref="P39:P41"/>
    <mergeCell ref="A44:A46"/>
    <mergeCell ref="A49:A51"/>
    <mergeCell ref="A63:C63"/>
    <mergeCell ref="E65:F65"/>
    <mergeCell ref="A67:A69"/>
    <mergeCell ref="A77:A79"/>
    <mergeCell ref="A90:C90"/>
    <mergeCell ref="E92:F92"/>
    <mergeCell ref="A94:A9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C00000"/>
  </sheetPr>
  <dimension ref="A1:L38"/>
  <sheetViews>
    <sheetView topLeftCell="A10" zoomScale="145" zoomScaleNormal="145" workbookViewId="0">
      <selection activeCell="A33" sqref="A33:G33"/>
    </sheetView>
  </sheetViews>
  <sheetFormatPr defaultRowHeight="11.25"/>
  <cols>
    <col min="1" max="1" width="12.7109375" style="35" customWidth="1"/>
    <col min="2" max="2" width="10.85546875" style="339" customWidth="1"/>
    <col min="3" max="3" width="7.42578125" style="36" customWidth="1"/>
    <col min="4" max="4" width="9.85546875" style="36" customWidth="1"/>
    <col min="5" max="5" width="11.7109375" style="35" customWidth="1"/>
    <col min="6" max="6" width="8.7109375" style="35" customWidth="1"/>
    <col min="7" max="7" width="9.140625" style="35"/>
    <col min="8" max="8" width="11.42578125" style="36" customWidth="1"/>
    <col min="9" max="9" width="11.5703125" style="35" customWidth="1"/>
    <col min="10" max="10" width="10.28515625" style="35" customWidth="1"/>
    <col min="11" max="11" width="11.140625" style="35" customWidth="1"/>
    <col min="12" max="12" width="10.5703125" style="35" customWidth="1"/>
    <col min="13" max="16384" width="9.140625" style="35"/>
  </cols>
  <sheetData>
    <row r="1" spans="1:12" ht="12" thickBot="1">
      <c r="A1" s="363" t="s">
        <v>725</v>
      </c>
      <c r="B1" s="364"/>
      <c r="C1" s="364"/>
      <c r="D1" s="364"/>
      <c r="E1" s="364"/>
      <c r="F1" s="364"/>
      <c r="G1" s="364"/>
      <c r="H1" s="364"/>
      <c r="I1" s="364"/>
      <c r="J1" s="364"/>
      <c r="K1" s="364"/>
      <c r="L1" s="365"/>
    </row>
    <row r="2" spans="1:12" ht="12" thickBot="1"/>
    <row r="3" spans="1:12" ht="12" thickBot="1">
      <c r="A3" s="363" t="s">
        <v>726</v>
      </c>
      <c r="B3" s="364"/>
      <c r="C3" s="364"/>
      <c r="D3" s="364"/>
      <c r="E3" s="364"/>
      <c r="F3" s="364"/>
      <c r="G3" s="364"/>
      <c r="H3" s="364"/>
      <c r="I3" s="364"/>
      <c r="J3" s="364"/>
      <c r="K3" s="364"/>
      <c r="L3" s="365"/>
    </row>
    <row r="4" spans="1:12" s="340" customFormat="1" ht="22.5" customHeight="1">
      <c r="A4" s="356" t="s">
        <v>642</v>
      </c>
      <c r="B4" s="357" t="s">
        <v>727</v>
      </c>
      <c r="C4" s="357" t="s">
        <v>728</v>
      </c>
      <c r="D4" s="357" t="s">
        <v>729</v>
      </c>
      <c r="E4" s="357" t="s">
        <v>730</v>
      </c>
      <c r="F4" s="357" t="s">
        <v>731</v>
      </c>
      <c r="G4" s="357" t="s">
        <v>732</v>
      </c>
      <c r="H4" s="357" t="s">
        <v>733</v>
      </c>
      <c r="I4" s="357" t="s">
        <v>734</v>
      </c>
      <c r="J4" s="357" t="s">
        <v>735</v>
      </c>
      <c r="K4" s="357" t="s">
        <v>736</v>
      </c>
      <c r="L4" s="358" t="s">
        <v>737</v>
      </c>
    </row>
    <row r="5" spans="1:12" s="341" customFormat="1" ht="15.75" customHeight="1">
      <c r="A5" s="346" t="s">
        <v>738</v>
      </c>
      <c r="B5" s="347" t="s">
        <v>739</v>
      </c>
      <c r="C5" s="614">
        <v>12</v>
      </c>
      <c r="D5" s="615">
        <v>3</v>
      </c>
      <c r="E5" s="349">
        <f>D6</f>
        <v>6.7619999999999996</v>
      </c>
      <c r="F5" s="613">
        <v>0.1</v>
      </c>
      <c r="G5" s="349">
        <f>(E5/F5)+1</f>
        <v>68.61999999999999</v>
      </c>
      <c r="H5" s="348">
        <f>(((45*C5)/6)*D5)/1000</f>
        <v>0.27</v>
      </c>
      <c r="I5" s="349">
        <f>(D5+H5)*G5</f>
        <v>224.38739999999996</v>
      </c>
      <c r="J5" s="350">
        <f>C5*C5/162</f>
        <v>0.88888888888888884</v>
      </c>
      <c r="K5" s="342">
        <f>J5*I5</f>
        <v>199.45546666666661</v>
      </c>
      <c r="L5" s="343">
        <f>K5+K6</f>
        <v>241.26102222222215</v>
      </c>
    </row>
    <row r="6" spans="1:12" s="341" customFormat="1" ht="15.75" customHeight="1" thickBot="1">
      <c r="A6" s="351"/>
      <c r="B6" s="352" t="s">
        <v>740</v>
      </c>
      <c r="C6" s="614">
        <v>10</v>
      </c>
      <c r="D6" s="615">
        <v>6.7619999999999996</v>
      </c>
      <c r="E6" s="354">
        <f>D5</f>
        <v>3</v>
      </c>
      <c r="F6" s="613">
        <v>0.15</v>
      </c>
      <c r="G6" s="354">
        <f>(E6/F6)+1</f>
        <v>21</v>
      </c>
      <c r="H6" s="353">
        <f>(((45*C6)/6)*E6)/1000</f>
        <v>0.22500000000000001</v>
      </c>
      <c r="I6" s="354">
        <f>(E6+H6)*G6</f>
        <v>67.725000000000009</v>
      </c>
      <c r="J6" s="355">
        <f>C6*C6/162</f>
        <v>0.61728395061728392</v>
      </c>
      <c r="K6" s="344">
        <f>J6*I6</f>
        <v>41.805555555555557</v>
      </c>
      <c r="L6" s="345"/>
    </row>
    <row r="7" spans="1:12" ht="12" thickBot="1"/>
    <row r="8" spans="1:12" ht="12" thickBot="1">
      <c r="A8" s="363" t="s">
        <v>104</v>
      </c>
      <c r="B8" s="364"/>
      <c r="C8" s="364"/>
      <c r="D8" s="364"/>
      <c r="E8" s="364"/>
      <c r="F8" s="364"/>
      <c r="G8" s="364"/>
      <c r="H8" s="364"/>
      <c r="I8" s="364"/>
      <c r="J8" s="364"/>
      <c r="K8" s="364"/>
      <c r="L8" s="365"/>
    </row>
    <row r="9" spans="1:12" s="340" customFormat="1" ht="22.5" customHeight="1">
      <c r="A9" s="356" t="s">
        <v>642</v>
      </c>
      <c r="B9" s="357" t="s">
        <v>727</v>
      </c>
      <c r="C9" s="357" t="s">
        <v>728</v>
      </c>
      <c r="D9" s="357" t="s">
        <v>729</v>
      </c>
      <c r="E9" s="357" t="s">
        <v>730</v>
      </c>
      <c r="F9" s="357" t="s">
        <v>731</v>
      </c>
      <c r="G9" s="357" t="s">
        <v>732</v>
      </c>
      <c r="H9" s="357" t="s">
        <v>733</v>
      </c>
      <c r="I9" s="357" t="s">
        <v>734</v>
      </c>
      <c r="J9" s="357" t="s">
        <v>735</v>
      </c>
      <c r="K9" s="357" t="s">
        <v>736</v>
      </c>
      <c r="L9" s="358" t="s">
        <v>737</v>
      </c>
    </row>
    <row r="10" spans="1:12" s="341" customFormat="1" ht="15.75" customHeight="1">
      <c r="A10" s="346" t="s">
        <v>738</v>
      </c>
      <c r="B10" s="347" t="s">
        <v>739</v>
      </c>
      <c r="C10" s="614">
        <v>12</v>
      </c>
      <c r="D10" s="615">
        <v>3.3</v>
      </c>
      <c r="E10" s="349">
        <f>D11</f>
        <v>5.173</v>
      </c>
      <c r="F10" s="613">
        <v>0.1</v>
      </c>
      <c r="G10" s="349">
        <f>(E10/F10)+1</f>
        <v>52.73</v>
      </c>
      <c r="H10" s="348">
        <f>(((45*C10)/6)*D10)/1000</f>
        <v>0.29699999999999999</v>
      </c>
      <c r="I10" s="349">
        <f>(D10+H10)*G10</f>
        <v>189.66980999999998</v>
      </c>
      <c r="J10" s="350">
        <f>C10*C10/162</f>
        <v>0.88888888888888884</v>
      </c>
      <c r="K10" s="342">
        <f>J10*I10</f>
        <v>168.59538666666666</v>
      </c>
      <c r="L10" s="343">
        <f>K10+K11</f>
        <v>218.96112740740739</v>
      </c>
    </row>
    <row r="11" spans="1:12" s="341" customFormat="1" ht="15.75" customHeight="1" thickBot="1">
      <c r="A11" s="351"/>
      <c r="B11" s="352" t="s">
        <v>740</v>
      </c>
      <c r="C11" s="614">
        <v>10</v>
      </c>
      <c r="D11" s="615">
        <v>5.173</v>
      </c>
      <c r="E11" s="354">
        <f>D10</f>
        <v>3.3</v>
      </c>
      <c r="F11" s="613">
        <v>0.15</v>
      </c>
      <c r="G11" s="354">
        <f>(E11/F11)+1</f>
        <v>23</v>
      </c>
      <c r="H11" s="353">
        <f>(((45*C11)/6)*E11)/1000</f>
        <v>0.2475</v>
      </c>
      <c r="I11" s="354">
        <f>(E11+H11)*G11</f>
        <v>81.592500000000001</v>
      </c>
      <c r="J11" s="355">
        <f>C11*C11/162</f>
        <v>0.61728395061728392</v>
      </c>
      <c r="K11" s="344">
        <f>J11*I11</f>
        <v>50.36574074074074</v>
      </c>
      <c r="L11" s="345"/>
    </row>
    <row r="12" spans="1:12" ht="12" thickBot="1"/>
    <row r="13" spans="1:12" ht="12" thickBot="1">
      <c r="A13" s="1024" t="s">
        <v>741</v>
      </c>
      <c r="B13" s="1025"/>
      <c r="C13" s="1025"/>
      <c r="D13" s="1025"/>
      <c r="E13" s="1025"/>
      <c r="F13" s="1025"/>
      <c r="G13" s="1025"/>
      <c r="H13" s="1025"/>
      <c r="I13" s="1025"/>
      <c r="J13" s="1025"/>
      <c r="K13" s="1025"/>
      <c r="L13" s="1026"/>
    </row>
    <row r="14" spans="1:12" s="340" customFormat="1" ht="22.5" customHeight="1">
      <c r="A14" s="356" t="s">
        <v>642</v>
      </c>
      <c r="B14" s="357" t="s">
        <v>727</v>
      </c>
      <c r="C14" s="357" t="s">
        <v>728</v>
      </c>
      <c r="D14" s="357" t="s">
        <v>729</v>
      </c>
      <c r="E14" s="357" t="s">
        <v>730</v>
      </c>
      <c r="F14" s="357" t="s">
        <v>731</v>
      </c>
      <c r="G14" s="357" t="s">
        <v>732</v>
      </c>
      <c r="H14" s="357" t="s">
        <v>733</v>
      </c>
      <c r="I14" s="357" t="s">
        <v>734</v>
      </c>
      <c r="J14" s="357" t="s">
        <v>735</v>
      </c>
      <c r="K14" s="357" t="s">
        <v>736</v>
      </c>
      <c r="L14" s="358" t="s">
        <v>737</v>
      </c>
    </row>
    <row r="15" spans="1:12" s="341" customFormat="1" ht="15.75" customHeight="1">
      <c r="A15" s="346" t="s">
        <v>738</v>
      </c>
      <c r="B15" s="347" t="s">
        <v>739</v>
      </c>
      <c r="C15" s="614">
        <v>12</v>
      </c>
      <c r="D15" s="615">
        <v>3</v>
      </c>
      <c r="E15" s="349">
        <f>D16</f>
        <v>5.173</v>
      </c>
      <c r="F15" s="613">
        <v>0.1</v>
      </c>
      <c r="G15" s="349">
        <f>(E15/F15)+1</f>
        <v>52.73</v>
      </c>
      <c r="H15" s="348">
        <f>(((45*C15)/6)*D15)/1000</f>
        <v>0.27</v>
      </c>
      <c r="I15" s="349">
        <f>(D15+H15)*G15</f>
        <v>172.4271</v>
      </c>
      <c r="J15" s="350">
        <f>C15*C15/162</f>
        <v>0.88888888888888884</v>
      </c>
      <c r="K15" s="342">
        <f>J15*I15</f>
        <v>153.26853333333332</v>
      </c>
      <c r="L15" s="343">
        <f>K15+K16</f>
        <v>195.07408888888887</v>
      </c>
    </row>
    <row r="16" spans="1:12" s="341" customFormat="1" ht="15.75" customHeight="1" thickBot="1">
      <c r="A16" s="351"/>
      <c r="B16" s="352" t="s">
        <v>740</v>
      </c>
      <c r="C16" s="614">
        <v>10</v>
      </c>
      <c r="D16" s="615">
        <v>5.173</v>
      </c>
      <c r="E16" s="354">
        <f>D15</f>
        <v>3</v>
      </c>
      <c r="F16" s="613">
        <v>0.15</v>
      </c>
      <c r="G16" s="354">
        <f>(E16/F16)+1</f>
        <v>21</v>
      </c>
      <c r="H16" s="353">
        <f>(((45*C16)/6)*E16)/1000</f>
        <v>0.22500000000000001</v>
      </c>
      <c r="I16" s="354">
        <f>(E16+H16)*G16</f>
        <v>67.725000000000009</v>
      </c>
      <c r="J16" s="355">
        <f>C16*C16/162</f>
        <v>0.61728395061728392</v>
      </c>
      <c r="K16" s="344">
        <f>J16*I16</f>
        <v>41.805555555555557</v>
      </c>
      <c r="L16" s="345"/>
    </row>
    <row r="17" spans="1:12" ht="12" thickBot="1"/>
    <row r="18" spans="1:12" ht="12" thickBot="1">
      <c r="A18" s="1024" t="s">
        <v>469</v>
      </c>
      <c r="B18" s="1025"/>
      <c r="C18" s="1025"/>
      <c r="D18" s="1025"/>
      <c r="E18" s="1025"/>
      <c r="F18" s="1025"/>
      <c r="G18" s="1025"/>
      <c r="H18" s="1025"/>
      <c r="I18" s="1025"/>
      <c r="J18" s="1025"/>
      <c r="K18" s="1025"/>
      <c r="L18" s="1026"/>
    </row>
    <row r="19" spans="1:12" s="340" customFormat="1" ht="22.5" customHeight="1">
      <c r="A19" s="356" t="s">
        <v>642</v>
      </c>
      <c r="B19" s="357" t="s">
        <v>727</v>
      </c>
      <c r="C19" s="357" t="s">
        <v>728</v>
      </c>
      <c r="D19" s="357" t="s">
        <v>729</v>
      </c>
      <c r="E19" s="357" t="s">
        <v>730</v>
      </c>
      <c r="F19" s="357" t="s">
        <v>731</v>
      </c>
      <c r="G19" s="357" t="s">
        <v>732</v>
      </c>
      <c r="H19" s="357" t="s">
        <v>733</v>
      </c>
      <c r="I19" s="357" t="s">
        <v>734</v>
      </c>
      <c r="J19" s="357" t="s">
        <v>735</v>
      </c>
      <c r="K19" s="357" t="s">
        <v>736</v>
      </c>
      <c r="L19" s="358" t="s">
        <v>737</v>
      </c>
    </row>
    <row r="20" spans="1:12" s="341" customFormat="1" ht="15.75" customHeight="1">
      <c r="A20" s="346" t="s">
        <v>738</v>
      </c>
      <c r="B20" s="347" t="s">
        <v>739</v>
      </c>
      <c r="C20" s="614">
        <v>12</v>
      </c>
      <c r="D20" s="615">
        <v>4</v>
      </c>
      <c r="E20" s="349">
        <f>D21</f>
        <v>5.173</v>
      </c>
      <c r="F20" s="613">
        <v>0.1</v>
      </c>
      <c r="G20" s="349">
        <f>(E20/F20)+1</f>
        <v>52.73</v>
      </c>
      <c r="H20" s="348">
        <f>(((45*C20)/6)*D20)/1000</f>
        <v>0.36</v>
      </c>
      <c r="I20" s="349">
        <f>(D20+H20)*G20</f>
        <v>229.90280000000001</v>
      </c>
      <c r="J20" s="350">
        <f>C20*C20/162</f>
        <v>0.88888888888888884</v>
      </c>
      <c r="K20" s="342">
        <f>J20*I20</f>
        <v>204.35804444444443</v>
      </c>
      <c r="L20" s="343">
        <f>K20+K21</f>
        <v>277.79425843621397</v>
      </c>
    </row>
    <row r="21" spans="1:12" s="341" customFormat="1" ht="15.75" customHeight="1" thickBot="1">
      <c r="A21" s="351"/>
      <c r="B21" s="352" t="s">
        <v>740</v>
      </c>
      <c r="C21" s="614">
        <v>10</v>
      </c>
      <c r="D21" s="615">
        <v>5.173</v>
      </c>
      <c r="E21" s="354">
        <f>D20</f>
        <v>4</v>
      </c>
      <c r="F21" s="613">
        <v>0.15</v>
      </c>
      <c r="G21" s="354">
        <f>(E21/F21)+1</f>
        <v>27.666666666666668</v>
      </c>
      <c r="H21" s="353">
        <f>(((45*C21)/6)*E21)/1000</f>
        <v>0.3</v>
      </c>
      <c r="I21" s="354">
        <f>(E21+H21)*G21</f>
        <v>118.96666666666667</v>
      </c>
      <c r="J21" s="355">
        <f>C21*C21/162</f>
        <v>0.61728395061728392</v>
      </c>
      <c r="K21" s="344">
        <f>J21*I21</f>
        <v>73.436213991769549</v>
      </c>
      <c r="L21" s="345"/>
    </row>
    <row r="23" spans="1:12" ht="12" thickBot="1"/>
    <row r="24" spans="1:12" ht="12" thickBot="1">
      <c r="A24" s="363" t="s">
        <v>742</v>
      </c>
      <c r="B24" s="364"/>
      <c r="C24" s="364"/>
      <c r="D24" s="364"/>
      <c r="E24" s="364"/>
      <c r="F24" s="364"/>
      <c r="G24" s="364"/>
      <c r="H24" s="364"/>
      <c r="I24" s="364"/>
      <c r="J24" s="364"/>
      <c r="K24" s="364"/>
      <c r="L24" s="365"/>
    </row>
    <row r="25" spans="1:12" ht="12" thickBot="1"/>
    <row r="26" spans="1:12" ht="12" thickBot="1">
      <c r="A26" s="1024" t="s">
        <v>743</v>
      </c>
      <c r="B26" s="1025"/>
      <c r="C26" s="1025"/>
      <c r="D26" s="1025"/>
      <c r="E26" s="1025"/>
      <c r="F26" s="1025"/>
      <c r="G26" s="1025"/>
      <c r="H26" s="1025"/>
      <c r="I26" s="1025"/>
      <c r="J26" s="1025"/>
      <c r="K26" s="1025"/>
      <c r="L26" s="1026"/>
    </row>
    <row r="27" spans="1:12" s="340" customFormat="1" ht="22.5" customHeight="1">
      <c r="A27" s="356" t="s">
        <v>642</v>
      </c>
      <c r="B27" s="357" t="s">
        <v>727</v>
      </c>
      <c r="C27" s="357" t="s">
        <v>728</v>
      </c>
      <c r="D27" s="357" t="s">
        <v>729</v>
      </c>
      <c r="E27" s="357" t="s">
        <v>730</v>
      </c>
      <c r="F27" s="357" t="s">
        <v>731</v>
      </c>
      <c r="G27" s="357" t="s">
        <v>732</v>
      </c>
      <c r="H27" s="357" t="s">
        <v>733</v>
      </c>
      <c r="I27" s="357" t="s">
        <v>734</v>
      </c>
      <c r="J27" s="357" t="s">
        <v>735</v>
      </c>
      <c r="K27" s="357" t="s">
        <v>736</v>
      </c>
      <c r="L27" s="358" t="s">
        <v>737</v>
      </c>
    </row>
    <row r="28" spans="1:12" s="341" customFormat="1" ht="15.75" customHeight="1">
      <c r="A28" s="346" t="s">
        <v>489</v>
      </c>
      <c r="B28" s="347" t="s">
        <v>739</v>
      </c>
      <c r="C28" s="359">
        <v>10</v>
      </c>
      <c r="D28" s="361">
        <v>1.5</v>
      </c>
      <c r="E28" s="349">
        <f>D29</f>
        <v>2.0699999999999998</v>
      </c>
      <c r="F28" s="349">
        <v>0.1</v>
      </c>
      <c r="G28" s="349">
        <f>(E28/F28)+1</f>
        <v>21.699999999999996</v>
      </c>
      <c r="H28" s="348">
        <f>(((45*C28)/6)*D28)/1000</f>
        <v>0.1125</v>
      </c>
      <c r="I28" s="349">
        <f>(D28+H28)*G28</f>
        <v>34.991249999999994</v>
      </c>
      <c r="J28" s="350">
        <f>C28*C28/162</f>
        <v>0.61728395061728392</v>
      </c>
      <c r="K28" s="342">
        <f>J28*I28</f>
        <v>21.599537037037031</v>
      </c>
      <c r="L28" s="343">
        <f>K28+K29</f>
        <v>32.548611111111107</v>
      </c>
    </row>
    <row r="29" spans="1:12" s="341" customFormat="1" ht="15.75" customHeight="1" thickBot="1">
      <c r="A29" s="351"/>
      <c r="B29" s="352" t="s">
        <v>740</v>
      </c>
      <c r="C29" s="360">
        <v>10</v>
      </c>
      <c r="D29" s="362">
        <v>2.0699999999999998</v>
      </c>
      <c r="E29" s="354">
        <f>D28</f>
        <v>1.5</v>
      </c>
      <c r="F29" s="354">
        <v>0.15</v>
      </c>
      <c r="G29" s="354">
        <f>(E29/F29)+1</f>
        <v>11</v>
      </c>
      <c r="H29" s="353">
        <f>(((45*C29)/6)*E29)/1000</f>
        <v>0.1125</v>
      </c>
      <c r="I29" s="354">
        <f>(E29+H29)*G29</f>
        <v>17.737500000000001</v>
      </c>
      <c r="J29" s="355">
        <f>C29*C29/162</f>
        <v>0.61728395061728392</v>
      </c>
      <c r="K29" s="344">
        <f>J29*I29</f>
        <v>10.949074074074074</v>
      </c>
      <c r="L29" s="345"/>
    </row>
    <row r="30" spans="1:12" ht="12" thickBot="1"/>
    <row r="31" spans="1:12" ht="12" thickBot="1">
      <c r="A31" s="1024" t="s">
        <v>469</v>
      </c>
      <c r="B31" s="1025"/>
      <c r="C31" s="1025"/>
      <c r="D31" s="1025"/>
      <c r="E31" s="1025"/>
      <c r="F31" s="1025"/>
      <c r="G31" s="1025"/>
      <c r="H31" s="1025"/>
      <c r="I31" s="1025"/>
      <c r="J31" s="1025"/>
      <c r="K31" s="1025"/>
      <c r="L31" s="1026"/>
    </row>
    <row r="32" spans="1:12" s="340" customFormat="1" ht="22.5" customHeight="1">
      <c r="A32" s="356" t="s">
        <v>642</v>
      </c>
      <c r="B32" s="357" t="s">
        <v>727</v>
      </c>
      <c r="C32" s="357" t="s">
        <v>728</v>
      </c>
      <c r="D32" s="357" t="s">
        <v>729</v>
      </c>
      <c r="E32" s="357" t="s">
        <v>730</v>
      </c>
      <c r="F32" s="357" t="s">
        <v>731</v>
      </c>
      <c r="G32" s="357" t="s">
        <v>732</v>
      </c>
      <c r="H32" s="357" t="s">
        <v>733</v>
      </c>
      <c r="I32" s="357" t="s">
        <v>734</v>
      </c>
      <c r="J32" s="357" t="s">
        <v>735</v>
      </c>
      <c r="K32" s="357" t="s">
        <v>736</v>
      </c>
      <c r="L32" s="358" t="s">
        <v>737</v>
      </c>
    </row>
    <row r="33" spans="1:12" s="341" customFormat="1" ht="15.75" customHeight="1">
      <c r="A33" s="346" t="s">
        <v>744</v>
      </c>
      <c r="B33" s="347" t="s">
        <v>739</v>
      </c>
      <c r="C33" s="359">
        <v>10</v>
      </c>
      <c r="D33" s="361">
        <v>0.9</v>
      </c>
      <c r="E33" s="349">
        <f>D34</f>
        <v>15.75</v>
      </c>
      <c r="F33" s="349">
        <v>0.1</v>
      </c>
      <c r="G33" s="349">
        <f t="shared" ref="G33:G36" si="0">(E33/F33)+1</f>
        <v>158.5</v>
      </c>
      <c r="H33" s="348">
        <f>(((45*C33)/6)*D33)/1000</f>
        <v>6.7500000000000004E-2</v>
      </c>
      <c r="I33" s="349">
        <f>(D33+H33)*G33</f>
        <v>153.34875</v>
      </c>
      <c r="J33" s="350">
        <f t="shared" ref="J33:J36" si="1">C33*C33/162</f>
        <v>0.61728395061728392</v>
      </c>
      <c r="K33" s="342">
        <f t="shared" ref="K33:K36" si="2">J33*I33</f>
        <v>94.659722222222214</v>
      </c>
      <c r="L33" s="343">
        <f>K33+K34</f>
        <v>98.840277777777771</v>
      </c>
    </row>
    <row r="34" spans="1:12" s="341" customFormat="1" ht="15.75" customHeight="1" thickBot="1">
      <c r="A34" s="351"/>
      <c r="B34" s="352" t="s">
        <v>740</v>
      </c>
      <c r="C34" s="360">
        <v>10</v>
      </c>
      <c r="D34" s="362">
        <f>8.49+5.76+1.5</f>
        <v>15.75</v>
      </c>
      <c r="E34" s="354">
        <f>D33</f>
        <v>0.9</v>
      </c>
      <c r="F34" s="354">
        <v>0.15</v>
      </c>
      <c r="G34" s="354">
        <f t="shared" si="0"/>
        <v>7</v>
      </c>
      <c r="H34" s="353">
        <f>(((45*C34)/6)*E34)/1000</f>
        <v>6.7500000000000004E-2</v>
      </c>
      <c r="I34" s="354">
        <f>(E34+H34)*G34</f>
        <v>6.7725</v>
      </c>
      <c r="J34" s="355">
        <f t="shared" si="1"/>
        <v>0.61728395061728392</v>
      </c>
      <c r="K34" s="344">
        <f t="shared" si="2"/>
        <v>4.1805555555555554</v>
      </c>
      <c r="L34" s="345"/>
    </row>
    <row r="35" spans="1:12" s="341" customFormat="1" ht="15.75" customHeight="1">
      <c r="A35" s="346" t="s">
        <v>745</v>
      </c>
      <c r="B35" s="347" t="s">
        <v>739</v>
      </c>
      <c r="C35" s="359">
        <v>10</v>
      </c>
      <c r="D35" s="361">
        <v>1.5</v>
      </c>
      <c r="E35" s="349">
        <f>D36</f>
        <v>9.48</v>
      </c>
      <c r="F35" s="349">
        <v>0.15</v>
      </c>
      <c r="G35" s="349">
        <f t="shared" si="0"/>
        <v>64.2</v>
      </c>
      <c r="H35" s="348">
        <f>(((45*C35)/6)*D35)/1000</f>
        <v>0.1125</v>
      </c>
      <c r="I35" s="349">
        <f>(D35+H35)*G35</f>
        <v>103.52250000000001</v>
      </c>
      <c r="J35" s="350">
        <f t="shared" si="1"/>
        <v>0.61728395061728392</v>
      </c>
      <c r="K35" s="342">
        <f t="shared" si="2"/>
        <v>63.902777777777779</v>
      </c>
      <c r="L35" s="343">
        <f>K35+K36</f>
        <v>74.851851851851848</v>
      </c>
    </row>
    <row r="36" spans="1:12" s="341" customFormat="1" ht="15.75" customHeight="1" thickBot="1">
      <c r="A36" s="351"/>
      <c r="B36" s="352" t="s">
        <v>740</v>
      </c>
      <c r="C36" s="360">
        <v>10</v>
      </c>
      <c r="D36" s="362">
        <f>8.58+0.9</f>
        <v>9.48</v>
      </c>
      <c r="E36" s="354">
        <f>D35</f>
        <v>1.5</v>
      </c>
      <c r="F36" s="354">
        <v>0.15</v>
      </c>
      <c r="G36" s="354">
        <f t="shared" si="0"/>
        <v>11</v>
      </c>
      <c r="H36" s="353">
        <f>(((45*C36)/6)*E36)/1000</f>
        <v>0.1125</v>
      </c>
      <c r="I36" s="354">
        <f>(E36+H36)*G36</f>
        <v>17.737500000000001</v>
      </c>
      <c r="J36" s="355">
        <f t="shared" si="1"/>
        <v>0.61728395061728392</v>
      </c>
      <c r="K36" s="344">
        <f t="shared" si="2"/>
        <v>10.949074074074074</v>
      </c>
      <c r="L36" s="345"/>
    </row>
    <row r="37" spans="1:12" s="341" customFormat="1" ht="15.75" customHeight="1">
      <c r="A37" s="346" t="s">
        <v>746</v>
      </c>
      <c r="B37" s="347" t="s">
        <v>739</v>
      </c>
      <c r="C37" s="359">
        <v>10</v>
      </c>
      <c r="D37" s="361">
        <v>1.5</v>
      </c>
      <c r="E37" s="349">
        <f>D38</f>
        <v>19.417999999999999</v>
      </c>
      <c r="F37" s="349">
        <v>0.15</v>
      </c>
      <c r="G37" s="349">
        <f t="shared" ref="G37:G38" si="3">(E37/F37)+1</f>
        <v>130.45333333333335</v>
      </c>
      <c r="H37" s="348">
        <f>(((45*C37)/6)*D37)/1000</f>
        <v>0.1125</v>
      </c>
      <c r="I37" s="349">
        <f>(D37+H37)*G37</f>
        <v>210.35600000000002</v>
      </c>
      <c r="J37" s="350">
        <f t="shared" ref="J37:J38" si="4">C37*C37/162</f>
        <v>0.61728395061728392</v>
      </c>
      <c r="K37" s="342">
        <f t="shared" ref="K37:K38" si="5">J37*I37</f>
        <v>129.84938271604938</v>
      </c>
      <c r="L37" s="343">
        <f>K37+K38</f>
        <v>140.79845679012345</v>
      </c>
    </row>
    <row r="38" spans="1:12" s="341" customFormat="1" ht="15.75" customHeight="1" thickBot="1">
      <c r="A38" s="351"/>
      <c r="B38" s="352" t="s">
        <v>740</v>
      </c>
      <c r="C38" s="360">
        <v>10</v>
      </c>
      <c r="D38" s="362">
        <f>11.964+7.454</f>
        <v>19.417999999999999</v>
      </c>
      <c r="E38" s="354">
        <f>D37</f>
        <v>1.5</v>
      </c>
      <c r="F38" s="354">
        <v>0.15</v>
      </c>
      <c r="G38" s="354">
        <f t="shared" si="3"/>
        <v>11</v>
      </c>
      <c r="H38" s="353">
        <f>(((45*C38)/6)*E38)/1000</f>
        <v>0.1125</v>
      </c>
      <c r="I38" s="354">
        <f>(E38+H38)*G38</f>
        <v>17.737500000000001</v>
      </c>
      <c r="J38" s="355">
        <f t="shared" si="4"/>
        <v>0.61728395061728392</v>
      </c>
      <c r="K38" s="344">
        <f t="shared" si="5"/>
        <v>10.949074074074074</v>
      </c>
      <c r="L38" s="345"/>
    </row>
  </sheetData>
  <mergeCells count="4">
    <mergeCell ref="A13:L13"/>
    <mergeCell ref="A18:L18"/>
    <mergeCell ref="A26:L26"/>
    <mergeCell ref="A31:L3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C00000"/>
  </sheetPr>
  <dimension ref="A1:P110"/>
  <sheetViews>
    <sheetView zoomScale="115" zoomScaleNormal="115" workbookViewId="0">
      <selection activeCell="A33" sqref="A33:G33"/>
    </sheetView>
  </sheetViews>
  <sheetFormatPr defaultRowHeight="11.25"/>
  <cols>
    <col min="1" max="1" width="13" style="36" customWidth="1"/>
    <col min="2" max="2" width="7.140625" style="36" customWidth="1"/>
    <col min="3" max="6" width="8.140625" style="35" customWidth="1"/>
    <col min="7" max="7" width="9.140625" style="35"/>
    <col min="8" max="8" width="10.140625" style="35" customWidth="1"/>
    <col min="9" max="9" width="9.5703125" style="35" customWidth="1"/>
    <col min="10" max="13" width="9.140625" style="35"/>
    <col min="14" max="14" width="10" style="35" customWidth="1"/>
    <col min="15" max="16384" width="9.140625" style="35"/>
  </cols>
  <sheetData>
    <row r="1" spans="1:16" ht="12" thickBot="1"/>
    <row r="2" spans="1:16" ht="13.5" customHeight="1" thickBot="1">
      <c r="A2" s="590" t="s">
        <v>747</v>
      </c>
      <c r="B2" s="591"/>
      <c r="C2" s="591"/>
      <c r="D2" s="591"/>
      <c r="E2" s="591"/>
      <c r="F2" s="591"/>
      <c r="G2" s="591"/>
      <c r="H2" s="591"/>
      <c r="I2" s="591"/>
      <c r="J2" s="591"/>
      <c r="K2" s="591"/>
      <c r="L2" s="591"/>
      <c r="M2" s="591"/>
      <c r="N2" s="592"/>
    </row>
    <row r="3" spans="1:16" ht="13.5" customHeight="1" thickBot="1">
      <c r="A3" s="1027"/>
      <c r="B3" s="1028"/>
      <c r="C3" s="1028"/>
      <c r="D3" s="1028"/>
      <c r="E3" s="1028"/>
      <c r="F3" s="1028"/>
      <c r="G3" s="1028"/>
      <c r="H3" s="1028"/>
      <c r="I3" s="1028"/>
      <c r="J3" s="1028"/>
      <c r="K3" s="1028"/>
      <c r="L3" s="1028"/>
      <c r="M3" s="1028"/>
      <c r="N3" s="1029"/>
    </row>
    <row r="4" spans="1:16" s="340" customFormat="1" ht="27.75" thickBot="1">
      <c r="A4" s="368" t="s">
        <v>748</v>
      </c>
      <c r="B4" s="368" t="s">
        <v>749</v>
      </c>
      <c r="C4" s="369" t="s">
        <v>728</v>
      </c>
      <c r="D4" s="369" t="s">
        <v>729</v>
      </c>
      <c r="E4" s="369" t="s">
        <v>750</v>
      </c>
      <c r="F4" s="369" t="s">
        <v>751</v>
      </c>
      <c r="G4" s="369" t="s">
        <v>752</v>
      </c>
      <c r="H4" s="369" t="s">
        <v>753</v>
      </c>
      <c r="I4" s="369" t="s">
        <v>754</v>
      </c>
      <c r="J4" s="369" t="s">
        <v>647</v>
      </c>
      <c r="K4" s="369" t="s">
        <v>648</v>
      </c>
      <c r="L4" s="369" t="s">
        <v>649</v>
      </c>
      <c r="M4" s="369" t="s">
        <v>650</v>
      </c>
      <c r="N4" s="370" t="s">
        <v>651</v>
      </c>
    </row>
    <row r="5" spans="1:16">
      <c r="A5" s="395" t="s">
        <v>755</v>
      </c>
      <c r="B5" s="377" t="s">
        <v>692</v>
      </c>
      <c r="C5" s="378">
        <v>12</v>
      </c>
      <c r="D5" s="378">
        <v>19.86</v>
      </c>
      <c r="E5" s="378">
        <v>7.1</v>
      </c>
      <c r="F5" s="378">
        <v>0.15</v>
      </c>
      <c r="G5" s="378">
        <f>(E5/F5)+1</f>
        <v>48.333333333333336</v>
      </c>
      <c r="H5" s="378">
        <v>50</v>
      </c>
      <c r="I5" s="379">
        <v>2</v>
      </c>
      <c r="J5" s="379">
        <f>(15*C5*2)/1000</f>
        <v>0.36</v>
      </c>
      <c r="K5" s="378">
        <f>(D5/6)*(0.04*C5)</f>
        <v>1.5888</v>
      </c>
      <c r="L5" s="378">
        <f>H5*(D5+J5+K5)*I5</f>
        <v>2180.8799999999997</v>
      </c>
      <c r="M5" s="378">
        <f>C5*C5/162</f>
        <v>0.88888888888888884</v>
      </c>
      <c r="N5" s="380">
        <f>L5*M5</f>
        <v>1938.5599999999995</v>
      </c>
    </row>
    <row r="6" spans="1:16" ht="12" thickBot="1">
      <c r="A6" s="400" t="s">
        <v>755</v>
      </c>
      <c r="B6" s="401" t="s">
        <v>692</v>
      </c>
      <c r="C6" s="397">
        <v>12</v>
      </c>
      <c r="D6" s="397">
        <v>7.1</v>
      </c>
      <c r="E6" s="397">
        <v>19.86</v>
      </c>
      <c r="F6" s="397">
        <v>0.15</v>
      </c>
      <c r="G6" s="397">
        <f>(E6/F6)+1</f>
        <v>133.4</v>
      </c>
      <c r="H6" s="397">
        <v>135</v>
      </c>
      <c r="I6" s="366">
        <v>2</v>
      </c>
      <c r="J6" s="366">
        <f>(15*C6*2)/1000</f>
        <v>0.36</v>
      </c>
      <c r="K6" s="397">
        <f>(D6/6)*(0.04*C6)</f>
        <v>0.56799999999999995</v>
      </c>
      <c r="L6" s="397">
        <f>H6*(D6+J6+K6)*I6</f>
        <v>2167.56</v>
      </c>
      <c r="M6" s="397">
        <f>C6*C6/162</f>
        <v>0.88888888888888884</v>
      </c>
      <c r="N6" s="398">
        <f>L6*M6</f>
        <v>1926.7199999999998</v>
      </c>
    </row>
    <row r="7" spans="1:16" ht="12" thickBot="1">
      <c r="A7" s="371"/>
      <c r="B7" s="371"/>
      <c r="C7" s="372"/>
      <c r="D7" s="372"/>
      <c r="E7" s="372"/>
      <c r="F7" s="372"/>
      <c r="G7" s="372"/>
      <c r="H7" s="372"/>
      <c r="I7" s="373"/>
      <c r="J7" s="373"/>
      <c r="K7" s="372"/>
      <c r="L7" s="372"/>
      <c r="M7" s="393" t="s">
        <v>393</v>
      </c>
      <c r="N7" s="374">
        <f>SUM(N5:N6)</f>
        <v>3865.2799999999993</v>
      </c>
      <c r="O7" s="35">
        <f>N7*15%</f>
        <v>579.79199999999992</v>
      </c>
      <c r="P7" s="35">
        <f>N7+O7</f>
        <v>4445.0719999999992</v>
      </c>
    </row>
    <row r="9" spans="1:16" ht="12" thickBot="1"/>
    <row r="10" spans="1:16" ht="13.5" customHeight="1" thickBot="1">
      <c r="A10" s="590" t="s">
        <v>432</v>
      </c>
      <c r="B10" s="591"/>
      <c r="C10" s="591"/>
      <c r="D10" s="591"/>
      <c r="E10" s="591"/>
      <c r="F10" s="591"/>
      <c r="G10" s="591"/>
      <c r="H10" s="591"/>
      <c r="I10" s="591"/>
      <c r="J10" s="591"/>
      <c r="K10" s="591"/>
      <c r="L10" s="591"/>
      <c r="M10" s="591"/>
      <c r="N10" s="592"/>
    </row>
    <row r="11" spans="1:16" ht="13.5" customHeight="1" thickBot="1">
      <c r="A11" s="1027"/>
      <c r="B11" s="1028"/>
      <c r="C11" s="1028"/>
      <c r="D11" s="1028"/>
      <c r="E11" s="1028"/>
      <c r="F11" s="1028"/>
      <c r="G11" s="1028"/>
      <c r="H11" s="1028"/>
      <c r="I11" s="1028"/>
      <c r="J11" s="1028"/>
      <c r="K11" s="1028"/>
      <c r="L11" s="1028"/>
      <c r="M11" s="1028"/>
      <c r="N11" s="1029"/>
    </row>
    <row r="12" spans="1:16" s="340" customFormat="1" ht="27.75" thickBot="1">
      <c r="A12" s="368" t="s">
        <v>748</v>
      </c>
      <c r="B12" s="368" t="s">
        <v>749</v>
      </c>
      <c r="C12" s="369" t="s">
        <v>728</v>
      </c>
      <c r="D12" s="369" t="s">
        <v>729</v>
      </c>
      <c r="E12" s="369" t="s">
        <v>750</v>
      </c>
      <c r="F12" s="369" t="s">
        <v>751</v>
      </c>
      <c r="G12" s="369" t="s">
        <v>752</v>
      </c>
      <c r="H12" s="369" t="s">
        <v>753</v>
      </c>
      <c r="I12" s="369" t="s">
        <v>754</v>
      </c>
      <c r="J12" s="369" t="s">
        <v>647</v>
      </c>
      <c r="K12" s="369" t="s">
        <v>648</v>
      </c>
      <c r="L12" s="369" t="s">
        <v>649</v>
      </c>
      <c r="M12" s="369" t="s">
        <v>650</v>
      </c>
      <c r="N12" s="370" t="s">
        <v>651</v>
      </c>
    </row>
    <row r="13" spans="1:16">
      <c r="A13" s="395" t="s">
        <v>755</v>
      </c>
      <c r="B13" s="377" t="s">
        <v>692</v>
      </c>
      <c r="C13" s="378">
        <v>6</v>
      </c>
      <c r="D13" s="378">
        <v>19.859000000000002</v>
      </c>
      <c r="E13" s="378">
        <v>7.1</v>
      </c>
      <c r="F13" s="378">
        <v>0.25</v>
      </c>
      <c r="G13" s="378">
        <f>(E13/F13)+1</f>
        <v>29.4</v>
      </c>
      <c r="H13" s="378">
        <v>31</v>
      </c>
      <c r="I13" s="379">
        <v>1</v>
      </c>
      <c r="J13" s="379">
        <f>(15*C13*2)/1000</f>
        <v>0.18</v>
      </c>
      <c r="K13" s="378">
        <f>(D13/6)*(0.04*C13)</f>
        <v>0.79436000000000007</v>
      </c>
      <c r="L13" s="378">
        <f>H13*(D13+J13+K13)*I13</f>
        <v>645.83416000000011</v>
      </c>
      <c r="M13" s="378">
        <f>C13*C13/162</f>
        <v>0.22222222222222221</v>
      </c>
      <c r="N13" s="380">
        <f>L13*M13</f>
        <v>143.51870222222223</v>
      </c>
    </row>
    <row r="14" spans="1:16" ht="12" thickBot="1">
      <c r="A14" s="400" t="s">
        <v>755</v>
      </c>
      <c r="B14" s="401" t="s">
        <v>692</v>
      </c>
      <c r="C14" s="397">
        <v>6</v>
      </c>
      <c r="D14" s="397">
        <v>7.1</v>
      </c>
      <c r="E14" s="397">
        <v>19.86</v>
      </c>
      <c r="F14" s="397">
        <v>0.25</v>
      </c>
      <c r="G14" s="397">
        <f>(E14/F14)+1</f>
        <v>80.44</v>
      </c>
      <c r="H14" s="397">
        <v>82</v>
      </c>
      <c r="I14" s="366">
        <v>1</v>
      </c>
      <c r="J14" s="366">
        <f>(15*C14*2)/1000</f>
        <v>0.18</v>
      </c>
      <c r="K14" s="397">
        <f>(D14/6)*(0.04*C14)</f>
        <v>0.28399999999999997</v>
      </c>
      <c r="L14" s="397">
        <f>H14*(D14+J14+K14)*I14</f>
        <v>620.24799999999993</v>
      </c>
      <c r="M14" s="397">
        <f>C14*C14/162</f>
        <v>0.22222222222222221</v>
      </c>
      <c r="N14" s="398">
        <f>L14*M14</f>
        <v>137.83288888888887</v>
      </c>
    </row>
    <row r="15" spans="1:16" ht="12" thickBot="1">
      <c r="A15" s="371"/>
      <c r="B15" s="371"/>
      <c r="C15" s="372"/>
      <c r="D15" s="372"/>
      <c r="E15" s="372"/>
      <c r="F15" s="372"/>
      <c r="G15" s="372"/>
      <c r="H15" s="372"/>
      <c r="I15" s="373"/>
      <c r="J15" s="373"/>
      <c r="K15" s="372"/>
      <c r="L15" s="372"/>
      <c r="M15" s="393" t="s">
        <v>393</v>
      </c>
      <c r="N15" s="374">
        <f>SUM(N13:N14)</f>
        <v>281.35159111111113</v>
      </c>
    </row>
    <row r="17" spans="1:14" ht="12" thickBot="1"/>
    <row r="18" spans="1:14" ht="13.5" customHeight="1" thickBot="1">
      <c r="A18" s="1034" t="s">
        <v>756</v>
      </c>
      <c r="B18" s="1035"/>
      <c r="C18" s="1035"/>
      <c r="D18" s="1035"/>
      <c r="E18" s="1035"/>
      <c r="F18" s="1035"/>
      <c r="G18" s="1035"/>
      <c r="H18" s="1035"/>
      <c r="I18" s="1035"/>
      <c r="J18" s="1035"/>
      <c r="K18" s="1035"/>
      <c r="L18" s="1035"/>
      <c r="M18" s="1035"/>
      <c r="N18" s="1036"/>
    </row>
    <row r="19" spans="1:14" ht="13.5" customHeight="1" thickBot="1">
      <c r="A19" s="1027"/>
      <c r="B19" s="1028"/>
      <c r="C19" s="1028"/>
      <c r="D19" s="1028"/>
      <c r="E19" s="1028"/>
      <c r="F19" s="1028"/>
      <c r="G19" s="1028"/>
      <c r="H19" s="1028"/>
      <c r="I19" s="1028"/>
      <c r="J19" s="1028"/>
      <c r="K19" s="1028"/>
      <c r="L19" s="1028"/>
      <c r="M19" s="1028"/>
      <c r="N19" s="1029"/>
    </row>
    <row r="20" spans="1:14" s="340" customFormat="1" ht="27.75" thickBot="1">
      <c r="A20" s="368" t="s">
        <v>748</v>
      </c>
      <c r="B20" s="368" t="s">
        <v>749</v>
      </c>
      <c r="C20" s="369" t="s">
        <v>728</v>
      </c>
      <c r="D20" s="369" t="s">
        <v>729</v>
      </c>
      <c r="E20" s="369" t="s">
        <v>757</v>
      </c>
      <c r="F20" s="369" t="s">
        <v>751</v>
      </c>
      <c r="G20" s="369" t="s">
        <v>752</v>
      </c>
      <c r="H20" s="369" t="s">
        <v>753</v>
      </c>
      <c r="I20" s="369" t="s">
        <v>754</v>
      </c>
      <c r="J20" s="369" t="s">
        <v>647</v>
      </c>
      <c r="K20" s="369" t="s">
        <v>648</v>
      </c>
      <c r="L20" s="369" t="s">
        <v>649</v>
      </c>
      <c r="M20" s="369" t="s">
        <v>650</v>
      </c>
      <c r="N20" s="370" t="s">
        <v>651</v>
      </c>
    </row>
    <row r="21" spans="1:14">
      <c r="A21" s="395" t="s">
        <v>755</v>
      </c>
      <c r="B21" s="377" t="s">
        <v>692</v>
      </c>
      <c r="C21" s="378">
        <v>10</v>
      </c>
      <c r="D21" s="378">
        <v>19.856000000000002</v>
      </c>
      <c r="E21" s="378">
        <v>7.1</v>
      </c>
      <c r="F21" s="378">
        <v>0.15</v>
      </c>
      <c r="G21" s="378">
        <f t="shared" ref="G21:G22" si="0">(E21/F21)+1</f>
        <v>48.333333333333336</v>
      </c>
      <c r="H21" s="378">
        <v>50</v>
      </c>
      <c r="I21" s="379">
        <v>1</v>
      </c>
      <c r="J21" s="379">
        <f t="shared" ref="J21:J22" si="1">(15*C21*2)/1000</f>
        <v>0.3</v>
      </c>
      <c r="K21" s="378">
        <f t="shared" ref="K21:K22" si="2">(D21/6)*(0.04*C21)</f>
        <v>1.3237333333333334</v>
      </c>
      <c r="L21" s="378">
        <f>H21*(D21+J21+K21)*I21</f>
        <v>1073.9866666666667</v>
      </c>
      <c r="M21" s="378">
        <f t="shared" ref="M21:M22" si="3">C21*C21/162</f>
        <v>0.61728395061728392</v>
      </c>
      <c r="N21" s="380">
        <f t="shared" ref="N21:N22" si="4">L21*M21</f>
        <v>662.95473251028807</v>
      </c>
    </row>
    <row r="22" spans="1:14">
      <c r="A22" s="400" t="s">
        <v>755</v>
      </c>
      <c r="B22" s="401" t="s">
        <v>692</v>
      </c>
      <c r="C22" s="397">
        <v>10</v>
      </c>
      <c r="D22" s="397">
        <v>7.1</v>
      </c>
      <c r="E22" s="397">
        <v>19.86</v>
      </c>
      <c r="F22" s="397">
        <v>0.15</v>
      </c>
      <c r="G22" s="397">
        <f t="shared" si="0"/>
        <v>133.4</v>
      </c>
      <c r="H22" s="397">
        <v>135</v>
      </c>
      <c r="I22" s="366">
        <v>1</v>
      </c>
      <c r="J22" s="366">
        <f t="shared" si="1"/>
        <v>0.3</v>
      </c>
      <c r="K22" s="397">
        <f t="shared" si="2"/>
        <v>0.47333333333333338</v>
      </c>
      <c r="L22" s="397">
        <f>H22*(D22+J22+K22)*I22</f>
        <v>1062.8999999999999</v>
      </c>
      <c r="M22" s="397">
        <f t="shared" si="3"/>
        <v>0.61728395061728392</v>
      </c>
      <c r="N22" s="398">
        <f t="shared" si="4"/>
        <v>656.11111111111097</v>
      </c>
    </row>
    <row r="23" spans="1:14" ht="12" thickBot="1">
      <c r="A23" s="400"/>
      <c r="B23" s="401"/>
      <c r="C23" s="397"/>
      <c r="D23" s="397"/>
      <c r="E23" s="397"/>
      <c r="F23" s="397"/>
      <c r="G23" s="397"/>
      <c r="H23" s="397"/>
      <c r="I23" s="366"/>
      <c r="J23" s="366"/>
      <c r="K23" s="397"/>
      <c r="L23" s="397"/>
      <c r="M23" s="397"/>
      <c r="N23" s="398"/>
    </row>
    <row r="24" spans="1:14" ht="12" thickBot="1">
      <c r="A24" s="371"/>
      <c r="B24" s="371"/>
      <c r="C24" s="372"/>
      <c r="D24" s="372"/>
      <c r="E24" s="372"/>
      <c r="F24" s="372"/>
      <c r="G24" s="372"/>
      <c r="H24" s="372"/>
      <c r="I24" s="373"/>
      <c r="J24" s="373"/>
      <c r="K24" s="372"/>
      <c r="L24" s="372"/>
      <c r="M24" s="393" t="s">
        <v>393</v>
      </c>
      <c r="N24" s="374">
        <f>SUM(N21:N23)</f>
        <v>1319.0658436213989</v>
      </c>
    </row>
    <row r="25" spans="1:14">
      <c r="A25" s="376" t="s">
        <v>758</v>
      </c>
      <c r="B25" s="384" t="s">
        <v>759</v>
      </c>
      <c r="C25" s="378">
        <v>10</v>
      </c>
      <c r="D25" s="378">
        <v>2</v>
      </c>
      <c r="E25" s="378">
        <v>5.4450000000000003</v>
      </c>
      <c r="F25" s="378">
        <v>0.15</v>
      </c>
      <c r="G25" s="397">
        <f t="shared" ref="G25:G26" si="5">(E25/F25)+1</f>
        <v>37.300000000000004</v>
      </c>
      <c r="H25" s="397">
        <v>38</v>
      </c>
      <c r="I25" s="379">
        <v>1</v>
      </c>
      <c r="J25" s="366">
        <f t="shared" ref="J25:J26" si="6">(15*C25*1)/1000</f>
        <v>0.15</v>
      </c>
      <c r="K25" s="378">
        <v>0</v>
      </c>
      <c r="L25" s="397">
        <f t="shared" ref="L25:L26" si="7">H25*(D25+J25+K25)*I25</f>
        <v>81.7</v>
      </c>
      <c r="M25" s="397">
        <f t="shared" ref="M25:M26" si="8">C25*C25/162</f>
        <v>0.61728395061728392</v>
      </c>
      <c r="N25" s="398">
        <f t="shared" ref="N25:N26" si="9">L25*M25</f>
        <v>50.432098765432094</v>
      </c>
    </row>
    <row r="26" spans="1:14">
      <c r="A26" s="376" t="s">
        <v>758</v>
      </c>
      <c r="B26" s="396" t="s">
        <v>759</v>
      </c>
      <c r="C26" s="397">
        <v>10</v>
      </c>
      <c r="D26" s="397">
        <v>3.5</v>
      </c>
      <c r="E26" s="397">
        <v>6.4</v>
      </c>
      <c r="F26" s="397">
        <v>0.15</v>
      </c>
      <c r="G26" s="397">
        <f t="shared" si="5"/>
        <v>43.666666666666671</v>
      </c>
      <c r="H26" s="397">
        <v>45</v>
      </c>
      <c r="I26" s="366">
        <v>1</v>
      </c>
      <c r="J26" s="366">
        <f t="shared" si="6"/>
        <v>0.15</v>
      </c>
      <c r="K26" s="397">
        <v>0</v>
      </c>
      <c r="L26" s="397">
        <f t="shared" si="7"/>
        <v>164.25</v>
      </c>
      <c r="M26" s="397">
        <f t="shared" si="8"/>
        <v>0.61728395061728392</v>
      </c>
      <c r="N26" s="398">
        <f t="shared" si="9"/>
        <v>101.38888888888889</v>
      </c>
    </row>
    <row r="27" spans="1:14">
      <c r="A27" s="376" t="s">
        <v>758</v>
      </c>
      <c r="B27" s="396" t="s">
        <v>759</v>
      </c>
      <c r="C27" s="397">
        <v>10</v>
      </c>
      <c r="D27" s="397">
        <v>3.5</v>
      </c>
      <c r="E27" s="397">
        <v>7.12</v>
      </c>
      <c r="F27" s="397">
        <v>0.15</v>
      </c>
      <c r="G27" s="397">
        <f t="shared" ref="G27" si="10">(E27/F27)+1</f>
        <v>48.466666666666669</v>
      </c>
      <c r="H27" s="397">
        <v>50</v>
      </c>
      <c r="I27" s="366">
        <v>1</v>
      </c>
      <c r="J27" s="366">
        <f t="shared" ref="J27" si="11">(15*C27*1)/1000</f>
        <v>0.15</v>
      </c>
      <c r="K27" s="397">
        <v>0</v>
      </c>
      <c r="L27" s="397">
        <f t="shared" ref="L27" si="12">H27*(D27+J27+K27)*I27</f>
        <v>182.5</v>
      </c>
      <c r="M27" s="397">
        <f t="shared" ref="M27" si="13">C27*C27/162</f>
        <v>0.61728395061728392</v>
      </c>
      <c r="N27" s="398">
        <f t="shared" ref="N27" si="14">L27*M27</f>
        <v>112.65432098765432</v>
      </c>
    </row>
    <row r="28" spans="1:14">
      <c r="A28" s="376" t="s">
        <v>758</v>
      </c>
      <c r="B28" s="396" t="s">
        <v>759</v>
      </c>
      <c r="C28" s="397">
        <v>10</v>
      </c>
      <c r="D28" s="397">
        <v>2</v>
      </c>
      <c r="E28" s="397">
        <v>2.5499999999999998</v>
      </c>
      <c r="F28" s="397">
        <v>0.15</v>
      </c>
      <c r="G28" s="397">
        <f t="shared" ref="G28" si="15">(E28/F28)+1</f>
        <v>18</v>
      </c>
      <c r="H28" s="397">
        <v>19</v>
      </c>
      <c r="I28" s="366">
        <v>1</v>
      </c>
      <c r="J28" s="366">
        <f t="shared" ref="J28" si="16">(15*C28*1)/1000</f>
        <v>0.15</v>
      </c>
      <c r="K28" s="397">
        <v>0</v>
      </c>
      <c r="L28" s="397">
        <f t="shared" ref="L28" si="17">H28*(D28+J28+K28)*I28</f>
        <v>40.85</v>
      </c>
      <c r="M28" s="397">
        <f t="shared" ref="M28" si="18">C28*C28/162</f>
        <v>0.61728395061728392</v>
      </c>
      <c r="N28" s="398">
        <f t="shared" ref="N28" si="19">L28*M28</f>
        <v>25.216049382716047</v>
      </c>
    </row>
    <row r="29" spans="1:14">
      <c r="A29" s="376" t="s">
        <v>758</v>
      </c>
      <c r="B29" s="396" t="s">
        <v>759</v>
      </c>
      <c r="C29" s="397">
        <v>10</v>
      </c>
      <c r="D29" s="397">
        <v>6</v>
      </c>
      <c r="E29" s="397">
        <v>5.2030000000000003</v>
      </c>
      <c r="F29" s="397">
        <v>0.15</v>
      </c>
      <c r="G29" s="397">
        <f t="shared" ref="G29" si="20">(E29/F29)+1</f>
        <v>35.686666666666667</v>
      </c>
      <c r="H29" s="397">
        <v>37</v>
      </c>
      <c r="I29" s="366">
        <v>1</v>
      </c>
      <c r="J29" s="366">
        <f t="shared" ref="J29" si="21">(15*C29*1)/1000</f>
        <v>0.15</v>
      </c>
      <c r="K29" s="397">
        <v>0</v>
      </c>
      <c r="L29" s="397">
        <f t="shared" ref="L29" si="22">H29*(D29+J29+K29)*I29</f>
        <v>227.55</v>
      </c>
      <c r="M29" s="397">
        <f t="shared" ref="M29" si="23">C29*C29/162</f>
        <v>0.61728395061728392</v>
      </c>
      <c r="N29" s="398">
        <f t="shared" ref="N29" si="24">L29*M29</f>
        <v>140.46296296296296</v>
      </c>
    </row>
    <row r="30" spans="1:14">
      <c r="A30" s="376"/>
      <c r="B30" s="396"/>
      <c r="C30" s="397"/>
      <c r="D30" s="397"/>
      <c r="E30" s="397"/>
      <c r="F30" s="397"/>
      <c r="G30" s="397"/>
      <c r="H30" s="397"/>
      <c r="I30" s="366"/>
      <c r="J30" s="366"/>
      <c r="K30" s="397"/>
      <c r="L30" s="397"/>
      <c r="M30" s="397"/>
      <c r="N30" s="398"/>
    </row>
    <row r="31" spans="1:14">
      <c r="A31" s="376" t="s">
        <v>758</v>
      </c>
      <c r="B31" s="396" t="s">
        <v>760</v>
      </c>
      <c r="C31" s="397">
        <v>10</v>
      </c>
      <c r="D31" s="397">
        <v>2</v>
      </c>
      <c r="E31" s="397">
        <v>5.5</v>
      </c>
      <c r="F31" s="397">
        <v>0.15</v>
      </c>
      <c r="G31" s="397">
        <f t="shared" ref="G31" si="25">(E31/F31)+1</f>
        <v>37.666666666666671</v>
      </c>
      <c r="H31" s="397">
        <v>39</v>
      </c>
      <c r="I31" s="366">
        <v>1</v>
      </c>
      <c r="J31" s="366">
        <f t="shared" ref="J31" si="26">(15*C31*1)/1000</f>
        <v>0.15</v>
      </c>
      <c r="K31" s="397">
        <v>0</v>
      </c>
      <c r="L31" s="397">
        <f t="shared" ref="L31" si="27">H31*(D31+J31+K31)*I31</f>
        <v>83.85</v>
      </c>
      <c r="M31" s="397">
        <f t="shared" ref="M31" si="28">C31*C31/162</f>
        <v>0.61728395061728392</v>
      </c>
      <c r="N31" s="398">
        <f t="shared" ref="N31" si="29">L31*M31</f>
        <v>51.759259259259252</v>
      </c>
    </row>
    <row r="32" spans="1:14">
      <c r="A32" s="376" t="s">
        <v>758</v>
      </c>
      <c r="B32" s="396" t="s">
        <v>760</v>
      </c>
      <c r="C32" s="397">
        <v>10</v>
      </c>
      <c r="D32" s="397">
        <v>2</v>
      </c>
      <c r="E32" s="397">
        <v>5.6749999999999998</v>
      </c>
      <c r="F32" s="397">
        <v>0.15</v>
      </c>
      <c r="G32" s="397">
        <f t="shared" ref="G32" si="30">(E32/F32)+1</f>
        <v>38.833333333333336</v>
      </c>
      <c r="H32" s="397">
        <v>40</v>
      </c>
      <c r="I32" s="366">
        <v>1</v>
      </c>
      <c r="J32" s="366">
        <f t="shared" ref="J32" si="31">(15*C32*1)/1000</f>
        <v>0.15</v>
      </c>
      <c r="K32" s="397">
        <v>0</v>
      </c>
      <c r="L32" s="397">
        <f t="shared" ref="L32" si="32">H32*(D32+J32+K32)*I32</f>
        <v>86</v>
      </c>
      <c r="M32" s="397">
        <f t="shared" ref="M32" si="33">C32*C32/162</f>
        <v>0.61728395061728392</v>
      </c>
      <c r="N32" s="398">
        <f t="shared" ref="N32" si="34">L32*M32</f>
        <v>53.086419753086417</v>
      </c>
    </row>
    <row r="33" spans="1:14">
      <c r="A33" s="376" t="s">
        <v>758</v>
      </c>
      <c r="B33" s="396" t="s">
        <v>760</v>
      </c>
      <c r="C33" s="397">
        <v>10</v>
      </c>
      <c r="D33" s="397">
        <v>1.5</v>
      </c>
      <c r="E33" s="397">
        <v>4.1849999999999996</v>
      </c>
      <c r="F33" s="397">
        <v>0.15</v>
      </c>
      <c r="G33" s="397">
        <f t="shared" ref="G33" si="35">(E33/F33)+1</f>
        <v>28.9</v>
      </c>
      <c r="H33" s="397">
        <v>31</v>
      </c>
      <c r="I33" s="366">
        <v>1</v>
      </c>
      <c r="J33" s="366">
        <f t="shared" ref="J33" si="36">(15*C33*1)/1000</f>
        <v>0.15</v>
      </c>
      <c r="K33" s="397">
        <v>0</v>
      </c>
      <c r="L33" s="397">
        <f t="shared" ref="L33" si="37">H33*(D33+J33+K33)*I33</f>
        <v>51.15</v>
      </c>
      <c r="M33" s="397">
        <f t="shared" ref="M33" si="38">C33*C33/162</f>
        <v>0.61728395061728392</v>
      </c>
      <c r="N33" s="398">
        <f t="shared" ref="N33" si="39">L33*M33</f>
        <v>31.574074074074073</v>
      </c>
    </row>
    <row r="34" spans="1:14">
      <c r="A34" s="376" t="s">
        <v>758</v>
      </c>
      <c r="B34" s="396" t="s">
        <v>760</v>
      </c>
      <c r="C34" s="397">
        <v>10</v>
      </c>
      <c r="D34" s="397">
        <v>3</v>
      </c>
      <c r="E34" s="397">
        <v>4.1849999999999996</v>
      </c>
      <c r="F34" s="397">
        <v>0.15</v>
      </c>
      <c r="G34" s="397">
        <f t="shared" ref="G34" si="40">(E34/F34)+1</f>
        <v>28.9</v>
      </c>
      <c r="H34" s="397">
        <v>31</v>
      </c>
      <c r="I34" s="366">
        <v>1</v>
      </c>
      <c r="J34" s="366">
        <f t="shared" ref="J34" si="41">(15*C34*1)/1000</f>
        <v>0.15</v>
      </c>
      <c r="K34" s="397">
        <v>0</v>
      </c>
      <c r="L34" s="397">
        <f t="shared" ref="L34" si="42">H34*(D34+J34+K34)*I34</f>
        <v>97.649999999999991</v>
      </c>
      <c r="M34" s="397">
        <f t="shared" ref="M34" si="43">C34*C34/162</f>
        <v>0.61728395061728392</v>
      </c>
      <c r="N34" s="398">
        <f t="shared" ref="N34" si="44">L34*M34</f>
        <v>60.277777777777771</v>
      </c>
    </row>
    <row r="35" spans="1:14">
      <c r="A35" s="376" t="s">
        <v>758</v>
      </c>
      <c r="B35" s="396" t="s">
        <v>760</v>
      </c>
      <c r="C35" s="397">
        <v>10</v>
      </c>
      <c r="D35" s="397">
        <v>2</v>
      </c>
      <c r="E35" s="397">
        <v>4.2141000000000002</v>
      </c>
      <c r="F35" s="397">
        <v>0.15</v>
      </c>
      <c r="G35" s="397">
        <f t="shared" ref="G35" si="45">(E35/F35)+1</f>
        <v>29.094000000000001</v>
      </c>
      <c r="H35" s="397">
        <v>30</v>
      </c>
      <c r="I35" s="366">
        <v>1</v>
      </c>
      <c r="J35" s="366">
        <f t="shared" ref="J35" si="46">(15*C35*1)/1000</f>
        <v>0.15</v>
      </c>
      <c r="K35" s="397">
        <v>0</v>
      </c>
      <c r="L35" s="397">
        <f t="shared" ref="L35" si="47">H35*(D35+J35+K35)*I35</f>
        <v>64.5</v>
      </c>
      <c r="M35" s="397">
        <f t="shared" ref="M35" si="48">C35*C35/162</f>
        <v>0.61728395061728392</v>
      </c>
      <c r="N35" s="398">
        <f t="shared" ref="N35" si="49">L35*M35</f>
        <v>39.81481481481481</v>
      </c>
    </row>
    <row r="36" spans="1:14">
      <c r="A36" s="376" t="s">
        <v>758</v>
      </c>
      <c r="B36" s="396" t="s">
        <v>760</v>
      </c>
      <c r="C36" s="397">
        <v>10</v>
      </c>
      <c r="D36" s="397">
        <v>2</v>
      </c>
      <c r="E36" s="397">
        <v>5.6379999999999999</v>
      </c>
      <c r="F36" s="397">
        <v>0.15</v>
      </c>
      <c r="G36" s="397">
        <f t="shared" ref="G36" si="50">(E36/F36)+1</f>
        <v>38.586666666666666</v>
      </c>
      <c r="H36" s="397">
        <v>40</v>
      </c>
      <c r="I36" s="366">
        <v>1</v>
      </c>
      <c r="J36" s="366">
        <f t="shared" ref="J36" si="51">(15*C36*1)/1000</f>
        <v>0.15</v>
      </c>
      <c r="K36" s="397">
        <v>0</v>
      </c>
      <c r="L36" s="397">
        <f t="shared" ref="L36" si="52">H36*(D36+J36+K36)*I36</f>
        <v>86</v>
      </c>
      <c r="M36" s="397">
        <f t="shared" ref="M36" si="53">C36*C36/162</f>
        <v>0.61728395061728392</v>
      </c>
      <c r="N36" s="398">
        <f t="shared" ref="N36" si="54">L36*M36</f>
        <v>53.086419753086417</v>
      </c>
    </row>
    <row r="37" spans="1:14">
      <c r="A37" s="376" t="s">
        <v>758</v>
      </c>
      <c r="B37" s="396" t="s">
        <v>760</v>
      </c>
      <c r="C37" s="397">
        <v>10</v>
      </c>
      <c r="D37" s="397">
        <v>2.2000000000000002</v>
      </c>
      <c r="E37" s="397">
        <v>5.6</v>
      </c>
      <c r="F37" s="397">
        <v>0.15</v>
      </c>
      <c r="G37" s="397">
        <f t="shared" ref="G37" si="55">(E37/F37)+1</f>
        <v>38.333333333333336</v>
      </c>
      <c r="H37" s="397">
        <v>40</v>
      </c>
      <c r="I37" s="366">
        <v>1</v>
      </c>
      <c r="J37" s="366">
        <f t="shared" ref="J37" si="56">(15*C37*1)/1000</f>
        <v>0.15</v>
      </c>
      <c r="K37" s="397">
        <v>0</v>
      </c>
      <c r="L37" s="397">
        <f t="shared" ref="L37" si="57">H37*(D37+J37+K37)*I37</f>
        <v>94</v>
      </c>
      <c r="M37" s="397">
        <f t="shared" ref="M37" si="58">C37*C37/162</f>
        <v>0.61728395061728392</v>
      </c>
      <c r="N37" s="398">
        <f t="shared" ref="N37" si="59">L37*M37</f>
        <v>58.02469135802469</v>
      </c>
    </row>
    <row r="38" spans="1:14">
      <c r="A38" s="376" t="s">
        <v>758</v>
      </c>
      <c r="B38" s="396" t="s">
        <v>760</v>
      </c>
      <c r="C38" s="397">
        <v>10</v>
      </c>
      <c r="D38" s="397">
        <v>1</v>
      </c>
      <c r="E38" s="397">
        <v>5.58</v>
      </c>
      <c r="F38" s="397">
        <v>0.15</v>
      </c>
      <c r="G38" s="397">
        <f t="shared" ref="G38" si="60">(E38/F38)+1</f>
        <v>38.200000000000003</v>
      </c>
      <c r="H38" s="397">
        <v>40</v>
      </c>
      <c r="I38" s="366">
        <v>1</v>
      </c>
      <c r="J38" s="366">
        <f t="shared" ref="J38" si="61">(15*C38*1)/1000</f>
        <v>0.15</v>
      </c>
      <c r="K38" s="397">
        <v>0</v>
      </c>
      <c r="L38" s="397">
        <f t="shared" ref="L38" si="62">H38*(D38+J38+K38)*I38</f>
        <v>46</v>
      </c>
      <c r="M38" s="397">
        <f t="shared" ref="M38" si="63">C38*C38/162</f>
        <v>0.61728395061728392</v>
      </c>
      <c r="N38" s="398">
        <f t="shared" ref="N38" si="64">L38*M38</f>
        <v>28.39506172839506</v>
      </c>
    </row>
    <row r="39" spans="1:14">
      <c r="A39" s="376" t="s">
        <v>758</v>
      </c>
      <c r="B39" s="396" t="s">
        <v>760</v>
      </c>
      <c r="C39" s="397">
        <v>10</v>
      </c>
      <c r="D39" s="397">
        <v>6.5</v>
      </c>
      <c r="E39" s="397">
        <v>1.6</v>
      </c>
      <c r="F39" s="397">
        <v>0.15</v>
      </c>
      <c r="G39" s="397">
        <f t="shared" ref="G39:G40" si="65">(E39/F39)+1</f>
        <v>11.666666666666668</v>
      </c>
      <c r="H39" s="397">
        <v>40</v>
      </c>
      <c r="I39" s="366">
        <v>1</v>
      </c>
      <c r="J39" s="366">
        <f t="shared" ref="J39:J40" si="66">(15*C39*1)/1000</f>
        <v>0.15</v>
      </c>
      <c r="K39" s="397">
        <f t="shared" ref="K39" si="67">(D39/6)*(0.04*C39)</f>
        <v>0.43333333333333335</v>
      </c>
      <c r="L39" s="397">
        <f t="shared" ref="L39:L40" si="68">H39*(D39+J39+K39)*I39</f>
        <v>283.33333333333337</v>
      </c>
      <c r="M39" s="397">
        <f t="shared" ref="M39:M40" si="69">C39*C39/162</f>
        <v>0.61728395061728392</v>
      </c>
      <c r="N39" s="398">
        <f t="shared" ref="N39:N40" si="70">L39*M39</f>
        <v>174.89711934156381</v>
      </c>
    </row>
    <row r="40" spans="1:14">
      <c r="A40" s="376" t="s">
        <v>758</v>
      </c>
      <c r="B40" s="396" t="s">
        <v>760</v>
      </c>
      <c r="C40" s="397">
        <v>10</v>
      </c>
      <c r="D40" s="397">
        <v>4.2</v>
      </c>
      <c r="E40" s="397">
        <v>2</v>
      </c>
      <c r="F40" s="397">
        <v>0.15</v>
      </c>
      <c r="G40" s="397">
        <f t="shared" si="65"/>
        <v>14.333333333333334</v>
      </c>
      <c r="H40" s="397">
        <v>40</v>
      </c>
      <c r="I40" s="366">
        <v>1</v>
      </c>
      <c r="J40" s="366">
        <f t="shared" si="66"/>
        <v>0.15</v>
      </c>
      <c r="K40" s="397">
        <v>0</v>
      </c>
      <c r="L40" s="397">
        <f t="shared" si="68"/>
        <v>174.00000000000003</v>
      </c>
      <c r="M40" s="397">
        <f t="shared" si="69"/>
        <v>0.61728395061728392</v>
      </c>
      <c r="N40" s="398">
        <f t="shared" si="70"/>
        <v>107.40740740740742</v>
      </c>
    </row>
    <row r="41" spans="1:14" ht="12" thickBot="1">
      <c r="A41" s="376"/>
      <c r="B41" s="396"/>
      <c r="C41" s="397"/>
      <c r="D41" s="397"/>
      <c r="E41" s="397"/>
      <c r="F41" s="397"/>
      <c r="G41" s="397"/>
      <c r="H41" s="397"/>
      <c r="I41" s="366"/>
      <c r="J41" s="366"/>
      <c r="K41" s="397"/>
      <c r="L41" s="397"/>
      <c r="M41" s="397"/>
      <c r="N41" s="398"/>
    </row>
    <row r="42" spans="1:14" ht="12" thickBot="1">
      <c r="A42" s="375"/>
      <c r="B42" s="375"/>
      <c r="C42" s="372"/>
      <c r="D42" s="372"/>
      <c r="E42" s="372"/>
      <c r="F42" s="372"/>
      <c r="G42" s="372"/>
      <c r="H42" s="372"/>
      <c r="I42" s="373"/>
      <c r="J42" s="373"/>
      <c r="K42" s="372"/>
      <c r="L42" s="372"/>
      <c r="M42" s="393" t="s">
        <v>393</v>
      </c>
      <c r="N42" s="374">
        <f>SUM(N25:N41)</f>
        <v>1088.4773662551438</v>
      </c>
    </row>
    <row r="43" spans="1:14">
      <c r="A43" s="376" t="s">
        <v>761</v>
      </c>
      <c r="B43" s="396" t="s">
        <v>759</v>
      </c>
      <c r="C43" s="397">
        <v>10</v>
      </c>
      <c r="D43" s="397">
        <v>5.4450000000000003</v>
      </c>
      <c r="E43" s="397">
        <v>2</v>
      </c>
      <c r="F43" s="397">
        <v>0.3</v>
      </c>
      <c r="G43" s="397">
        <f t="shared" ref="G43" si="71">(E43/F43)+1</f>
        <v>7.666666666666667</v>
      </c>
      <c r="H43" s="397">
        <v>8</v>
      </c>
      <c r="I43" s="366">
        <v>1</v>
      </c>
      <c r="J43" s="366">
        <f>(15*C43*1)/1000</f>
        <v>0.15</v>
      </c>
      <c r="K43" s="397">
        <f t="shared" ref="K43" si="72">(D43/6)*(0.04*C43)</f>
        <v>0.36300000000000004</v>
      </c>
      <c r="L43" s="397">
        <f t="shared" ref="L43" si="73">H43*(D43+J43+K43)*I43</f>
        <v>47.664000000000009</v>
      </c>
      <c r="M43" s="397">
        <f t="shared" ref="M43" si="74">C43*C43/162</f>
        <v>0.61728395061728392</v>
      </c>
      <c r="N43" s="398">
        <f t="shared" ref="N43" si="75">L43*M43</f>
        <v>29.422222222222224</v>
      </c>
    </row>
    <row r="44" spans="1:14">
      <c r="A44" s="376" t="s">
        <v>761</v>
      </c>
      <c r="B44" s="396" t="s">
        <v>759</v>
      </c>
      <c r="C44" s="397">
        <v>10</v>
      </c>
      <c r="D44" s="397">
        <v>6.4</v>
      </c>
      <c r="E44" s="397">
        <v>3.5</v>
      </c>
      <c r="F44" s="397">
        <v>0.3</v>
      </c>
      <c r="G44" s="397">
        <f t="shared" ref="G44" si="76">(E44/F44)+1</f>
        <v>12.666666666666668</v>
      </c>
      <c r="H44" s="397">
        <v>14</v>
      </c>
      <c r="I44" s="366">
        <v>1</v>
      </c>
      <c r="J44" s="366">
        <f>(15*C44*1)/1000</f>
        <v>0.15</v>
      </c>
      <c r="K44" s="397">
        <f t="shared" ref="K44" si="77">(D44/6)*(0.04*C44)</f>
        <v>0.42666666666666669</v>
      </c>
      <c r="L44" s="397">
        <f t="shared" ref="L44" si="78">H44*(D44+J44+K44)*I44</f>
        <v>97.673333333333346</v>
      </c>
      <c r="M44" s="397">
        <f t="shared" ref="M44" si="79">C44*C44/162</f>
        <v>0.61728395061728392</v>
      </c>
      <c r="N44" s="398">
        <f t="shared" ref="N44" si="80">L44*M44</f>
        <v>60.292181069958851</v>
      </c>
    </row>
    <row r="45" spans="1:14">
      <c r="A45" s="376" t="s">
        <v>761</v>
      </c>
      <c r="B45" s="396" t="s">
        <v>759</v>
      </c>
      <c r="C45" s="397">
        <v>10</v>
      </c>
      <c r="D45" s="397">
        <v>7.5</v>
      </c>
      <c r="E45" s="397">
        <v>3.5</v>
      </c>
      <c r="F45" s="397">
        <v>0.3</v>
      </c>
      <c r="G45" s="397">
        <f t="shared" ref="G45" si="81">(E45/F45)+1</f>
        <v>12.666666666666668</v>
      </c>
      <c r="H45" s="397">
        <v>14</v>
      </c>
      <c r="I45" s="366">
        <v>1</v>
      </c>
      <c r="J45" s="366">
        <f>(15*C45*1)/1000</f>
        <v>0.15</v>
      </c>
      <c r="K45" s="397">
        <f t="shared" ref="K45" si="82">(D45/6)*(0.04*C45)</f>
        <v>0.5</v>
      </c>
      <c r="L45" s="397">
        <f t="shared" ref="L45" si="83">H45*(D45+J45+K45)*I45</f>
        <v>114.10000000000001</v>
      </c>
      <c r="M45" s="397">
        <f t="shared" ref="M45" si="84">C45*C45/162</f>
        <v>0.61728395061728392</v>
      </c>
      <c r="N45" s="398">
        <f t="shared" ref="N45" si="85">L45*M45</f>
        <v>70.432098765432102</v>
      </c>
    </row>
    <row r="46" spans="1:14">
      <c r="A46" s="376" t="s">
        <v>761</v>
      </c>
      <c r="B46" s="396" t="s">
        <v>759</v>
      </c>
      <c r="C46" s="397">
        <v>10</v>
      </c>
      <c r="D46" s="397">
        <v>8</v>
      </c>
      <c r="E46" s="397">
        <v>2</v>
      </c>
      <c r="F46" s="397">
        <v>0.3</v>
      </c>
      <c r="G46" s="397">
        <f t="shared" ref="G46" si="86">(E46/F46)+1</f>
        <v>7.666666666666667</v>
      </c>
      <c r="H46" s="397">
        <v>9</v>
      </c>
      <c r="I46" s="366">
        <v>1</v>
      </c>
      <c r="J46" s="366">
        <f>(15*C46*1)/1000</f>
        <v>0.15</v>
      </c>
      <c r="K46" s="397">
        <f t="shared" ref="K46" si="87">(D46/6)*(0.04*C46)</f>
        <v>0.53333333333333333</v>
      </c>
      <c r="L46" s="397">
        <f t="shared" ref="L46" si="88">H46*(D46+J46+K46)*I46</f>
        <v>78.150000000000006</v>
      </c>
      <c r="M46" s="397">
        <f t="shared" ref="M46" si="89">C46*C46/162</f>
        <v>0.61728395061728392</v>
      </c>
      <c r="N46" s="398">
        <f t="shared" ref="N46" si="90">L46*M46</f>
        <v>48.24074074074074</v>
      </c>
    </row>
    <row r="47" spans="1:14">
      <c r="A47" s="376"/>
      <c r="B47" s="396"/>
      <c r="C47" s="397"/>
      <c r="D47" s="397"/>
      <c r="E47" s="397"/>
      <c r="F47" s="397"/>
      <c r="G47" s="397"/>
      <c r="H47" s="397"/>
      <c r="I47" s="366"/>
      <c r="J47" s="366"/>
      <c r="K47" s="397"/>
      <c r="L47" s="397"/>
      <c r="M47" s="397"/>
      <c r="N47" s="398"/>
    </row>
    <row r="48" spans="1:14">
      <c r="A48" s="376" t="s">
        <v>761</v>
      </c>
      <c r="B48" s="396" t="s">
        <v>760</v>
      </c>
      <c r="C48" s="397">
        <v>10</v>
      </c>
      <c r="D48" s="397">
        <v>15.664</v>
      </c>
      <c r="E48" s="397">
        <v>2</v>
      </c>
      <c r="F48" s="397">
        <v>0.3</v>
      </c>
      <c r="G48" s="397">
        <f t="shared" ref="G48" si="91">(E48/F48)+1</f>
        <v>7.666666666666667</v>
      </c>
      <c r="H48" s="397">
        <v>9</v>
      </c>
      <c r="I48" s="366">
        <v>1</v>
      </c>
      <c r="J48" s="366">
        <f>(15*C48*1)/1000</f>
        <v>0.15</v>
      </c>
      <c r="K48" s="397">
        <f t="shared" ref="K48" si="92">(D48/6)*(0.04*C48)</f>
        <v>1.0442666666666667</v>
      </c>
      <c r="L48" s="397">
        <f t="shared" ref="L48" si="93">H48*(D48+J48+K48)*I48</f>
        <v>151.7244</v>
      </c>
      <c r="M48" s="397">
        <f t="shared" ref="M48" si="94">C48*C48/162</f>
        <v>0.61728395061728392</v>
      </c>
      <c r="N48" s="398">
        <f t="shared" ref="N48" si="95">L48*M48</f>
        <v>93.657037037037028</v>
      </c>
    </row>
    <row r="49" spans="1:14">
      <c r="A49" s="376" t="s">
        <v>761</v>
      </c>
      <c r="B49" s="396" t="s">
        <v>760</v>
      </c>
      <c r="C49" s="397">
        <v>10</v>
      </c>
      <c r="D49" s="397">
        <v>15.961</v>
      </c>
      <c r="E49" s="397">
        <v>2</v>
      </c>
      <c r="F49" s="397">
        <v>0.3</v>
      </c>
      <c r="G49" s="397">
        <f t="shared" ref="G49" si="96">(E49/F49)+1</f>
        <v>7.666666666666667</v>
      </c>
      <c r="H49" s="397">
        <v>9</v>
      </c>
      <c r="I49" s="366">
        <v>1</v>
      </c>
      <c r="J49" s="366">
        <f>(15*C49*1)/1000</f>
        <v>0.15</v>
      </c>
      <c r="K49" s="397">
        <f t="shared" ref="K49" si="97">(D49/6)*(0.04*C49)</f>
        <v>1.0640666666666667</v>
      </c>
      <c r="L49" s="397">
        <f t="shared" ref="L49" si="98">H49*(D49+J49+K49)*I49</f>
        <v>154.57560000000001</v>
      </c>
      <c r="M49" s="397">
        <f t="shared" ref="M49" si="99">C49*C49/162</f>
        <v>0.61728395061728392</v>
      </c>
      <c r="N49" s="398">
        <f t="shared" ref="N49" si="100">L49*M49</f>
        <v>95.417037037037034</v>
      </c>
    </row>
    <row r="50" spans="1:14">
      <c r="A50" s="376" t="s">
        <v>761</v>
      </c>
      <c r="B50" s="396" t="s">
        <v>760</v>
      </c>
      <c r="C50" s="397">
        <v>10</v>
      </c>
      <c r="D50" s="397">
        <v>4.1840000000000002</v>
      </c>
      <c r="E50" s="397">
        <v>3</v>
      </c>
      <c r="F50" s="397">
        <v>0.3</v>
      </c>
      <c r="G50" s="397">
        <f t="shared" ref="G50" si="101">(E50/F50)+1</f>
        <v>11</v>
      </c>
      <c r="H50" s="397">
        <v>12</v>
      </c>
      <c r="I50" s="366">
        <v>1</v>
      </c>
      <c r="J50" s="366">
        <f>(15*C50*1)/1000</f>
        <v>0.15</v>
      </c>
      <c r="K50" s="397">
        <f t="shared" ref="K50" si="102">(D50/6)*(0.04*C50)</f>
        <v>0.27893333333333337</v>
      </c>
      <c r="L50" s="397">
        <f t="shared" ref="L50" si="103">H50*(D50+J50+K50)*I50</f>
        <v>55.355200000000011</v>
      </c>
      <c r="M50" s="397">
        <f t="shared" ref="M50" si="104">C50*C50/162</f>
        <v>0.61728395061728392</v>
      </c>
      <c r="N50" s="398">
        <f t="shared" ref="N50" si="105">L50*M50</f>
        <v>34.169876543209881</v>
      </c>
    </row>
    <row r="51" spans="1:14">
      <c r="A51" s="376" t="s">
        <v>761</v>
      </c>
      <c r="B51" s="396" t="s">
        <v>760</v>
      </c>
      <c r="C51" s="397">
        <v>10</v>
      </c>
      <c r="D51" s="397">
        <v>5.5789999999999997</v>
      </c>
      <c r="E51" s="397">
        <v>2.2000000000000002</v>
      </c>
      <c r="F51" s="397">
        <v>0.3</v>
      </c>
      <c r="G51" s="397">
        <f t="shared" ref="G51" si="106">(E51/F51)+1</f>
        <v>8.3333333333333339</v>
      </c>
      <c r="H51" s="397">
        <v>10</v>
      </c>
      <c r="I51" s="366">
        <v>1</v>
      </c>
      <c r="J51" s="366">
        <f>(15*C51*1)/1000</f>
        <v>0.15</v>
      </c>
      <c r="K51" s="397">
        <f t="shared" ref="K51" si="107">(D51/6)*(0.04*C51)</f>
        <v>0.37193333333333334</v>
      </c>
      <c r="L51" s="397">
        <f t="shared" ref="L51" si="108">H51*(D51+J51+K51)*I51</f>
        <v>61.009333333333338</v>
      </c>
      <c r="M51" s="397">
        <f t="shared" ref="M51" si="109">C51*C51/162</f>
        <v>0.61728395061728392</v>
      </c>
      <c r="N51" s="398">
        <f t="shared" ref="N51" si="110">L51*M51</f>
        <v>37.660082304526746</v>
      </c>
    </row>
    <row r="52" spans="1:14" ht="12" thickBot="1">
      <c r="A52" s="376"/>
      <c r="B52" s="385"/>
      <c r="C52" s="382"/>
      <c r="D52" s="382"/>
      <c r="E52" s="382"/>
      <c r="F52" s="382"/>
      <c r="G52" s="382"/>
      <c r="H52" s="382"/>
      <c r="I52" s="353"/>
      <c r="J52" s="353"/>
      <c r="K52" s="382"/>
      <c r="L52" s="382"/>
      <c r="M52" s="382"/>
      <c r="N52" s="383"/>
    </row>
    <row r="53" spans="1:14" ht="12" thickBot="1">
      <c r="A53" s="375"/>
      <c r="B53" s="375"/>
      <c r="C53" s="372"/>
      <c r="D53" s="372"/>
      <c r="E53" s="372"/>
      <c r="F53" s="372"/>
      <c r="G53" s="372"/>
      <c r="H53" s="372"/>
      <c r="I53" s="373"/>
      <c r="J53" s="373"/>
      <c r="K53" s="372"/>
      <c r="L53" s="372"/>
      <c r="M53" s="394" t="s">
        <v>393</v>
      </c>
      <c r="N53" s="374">
        <f>SUM(N43:N52)</f>
        <v>469.29127572016461</v>
      </c>
    </row>
    <row r="54" spans="1:14" ht="13.5">
      <c r="A54" s="386" t="s">
        <v>762</v>
      </c>
      <c r="B54" s="402"/>
      <c r="C54" s="403"/>
      <c r="D54" s="403"/>
      <c r="E54" s="403"/>
      <c r="F54" s="403"/>
      <c r="G54" s="403"/>
      <c r="H54" s="403"/>
      <c r="I54" s="403"/>
      <c r="J54" s="403"/>
      <c r="K54" s="403"/>
      <c r="L54" s="403"/>
      <c r="M54" s="403"/>
      <c r="N54" s="404"/>
    </row>
    <row r="55" spans="1:14">
      <c r="A55" s="376" t="s">
        <v>449</v>
      </c>
      <c r="B55" s="401" t="s">
        <v>700</v>
      </c>
      <c r="C55" s="397">
        <v>10</v>
      </c>
      <c r="D55" s="397">
        <v>1.6</v>
      </c>
      <c r="E55" s="397">
        <v>1.5</v>
      </c>
      <c r="F55" s="397">
        <v>0.15</v>
      </c>
      <c r="G55" s="397">
        <f>(E55/F55)+1</f>
        <v>11</v>
      </c>
      <c r="H55" s="397">
        <v>12</v>
      </c>
      <c r="I55" s="366">
        <v>1</v>
      </c>
      <c r="J55" s="366">
        <f>(15*C55*2)/1000</f>
        <v>0.3</v>
      </c>
      <c r="K55" s="397">
        <v>0</v>
      </c>
      <c r="L55" s="397">
        <f t="shared" ref="L55:L58" si="111">H55*(D55+J55+K55)*I55</f>
        <v>22.8</v>
      </c>
      <c r="M55" s="397">
        <f>C55*C55/162</f>
        <v>0.61728395061728392</v>
      </c>
      <c r="N55" s="398">
        <f>L55*M55</f>
        <v>14.074074074074074</v>
      </c>
    </row>
    <row r="56" spans="1:14">
      <c r="A56" s="376"/>
      <c r="B56" s="401" t="s">
        <v>700</v>
      </c>
      <c r="C56" s="397">
        <v>10</v>
      </c>
      <c r="D56" s="397">
        <v>1.5</v>
      </c>
      <c r="E56" s="397">
        <v>1.6</v>
      </c>
      <c r="F56" s="397">
        <v>0.15</v>
      </c>
      <c r="G56" s="397">
        <f>(E56/F56)+1</f>
        <v>11.666666666666668</v>
      </c>
      <c r="H56" s="397">
        <v>13</v>
      </c>
      <c r="I56" s="366">
        <v>1</v>
      </c>
      <c r="J56" s="366">
        <f>(15*C56*2)/1000</f>
        <v>0.3</v>
      </c>
      <c r="K56" s="397">
        <v>0</v>
      </c>
      <c r="L56" s="397">
        <f t="shared" si="111"/>
        <v>23.400000000000002</v>
      </c>
      <c r="M56" s="397">
        <f>C56*C56/162</f>
        <v>0.61728395061728392</v>
      </c>
      <c r="N56" s="398">
        <f>L56*M56</f>
        <v>14.444444444444445</v>
      </c>
    </row>
    <row r="57" spans="1:14">
      <c r="A57" s="376" t="s">
        <v>763</v>
      </c>
      <c r="B57" s="401" t="s">
        <v>700</v>
      </c>
      <c r="C57" s="397">
        <v>10</v>
      </c>
      <c r="D57" s="397">
        <v>2.75</v>
      </c>
      <c r="E57" s="397">
        <v>1.95</v>
      </c>
      <c r="F57" s="397">
        <v>0.15</v>
      </c>
      <c r="G57" s="397">
        <f>(E57/F57)+1</f>
        <v>14</v>
      </c>
      <c r="H57" s="397">
        <v>15</v>
      </c>
      <c r="I57" s="366">
        <v>1</v>
      </c>
      <c r="J57" s="366">
        <f>(15*C57*2)/1000</f>
        <v>0.3</v>
      </c>
      <c r="K57" s="397">
        <v>0</v>
      </c>
      <c r="L57" s="397">
        <f t="shared" si="111"/>
        <v>45.75</v>
      </c>
      <c r="M57" s="397">
        <f>C57*C57/162</f>
        <v>0.61728395061728392</v>
      </c>
      <c r="N57" s="398">
        <f>L57*M57</f>
        <v>28.24074074074074</v>
      </c>
    </row>
    <row r="58" spans="1:14" ht="12" thickBot="1">
      <c r="A58" s="376"/>
      <c r="B58" s="381" t="s">
        <v>700</v>
      </c>
      <c r="C58" s="382">
        <v>10</v>
      </c>
      <c r="D58" s="382">
        <v>1.95</v>
      </c>
      <c r="E58" s="382">
        <v>2.75</v>
      </c>
      <c r="F58" s="382">
        <v>0.15</v>
      </c>
      <c r="G58" s="382">
        <f>(E58/F58)+1</f>
        <v>19.333333333333336</v>
      </c>
      <c r="H58" s="382">
        <v>20</v>
      </c>
      <c r="I58" s="353">
        <v>1</v>
      </c>
      <c r="J58" s="353">
        <f>(15*C58*2)/1000</f>
        <v>0.3</v>
      </c>
      <c r="K58" s="382">
        <v>0</v>
      </c>
      <c r="L58" s="382">
        <f t="shared" si="111"/>
        <v>45</v>
      </c>
      <c r="M58" s="382">
        <f>C58*C58/162</f>
        <v>0.61728395061728392</v>
      </c>
      <c r="N58" s="383">
        <f>L58*M58</f>
        <v>27.777777777777775</v>
      </c>
    </row>
    <row r="59" spans="1:14" ht="12" thickBot="1">
      <c r="A59" s="375"/>
      <c r="B59" s="406"/>
      <c r="C59" s="372"/>
      <c r="D59" s="372"/>
      <c r="E59" s="372"/>
      <c r="F59" s="372"/>
      <c r="G59" s="372"/>
      <c r="H59" s="372"/>
      <c r="I59" s="373"/>
      <c r="J59" s="373"/>
      <c r="K59" s="372"/>
      <c r="L59" s="372"/>
      <c r="M59" s="405" t="s">
        <v>393</v>
      </c>
      <c r="N59" s="374">
        <f>SUM(N55:N58)</f>
        <v>84.537037037037038</v>
      </c>
    </row>
    <row r="60" spans="1:14" ht="12" thickBot="1">
      <c r="A60" s="375"/>
      <c r="B60" s="406"/>
      <c r="C60" s="372"/>
      <c r="D60" s="372"/>
      <c r="E60" s="372"/>
      <c r="F60" s="372"/>
      <c r="G60" s="372"/>
      <c r="H60" s="372"/>
      <c r="I60" s="373"/>
      <c r="J60" s="373"/>
      <c r="K60" s="372"/>
      <c r="L60" s="372"/>
      <c r="M60" s="405"/>
      <c r="N60" s="374"/>
    </row>
    <row r="61" spans="1:14" ht="12.75" customHeight="1" thickBot="1">
      <c r="A61" s="375"/>
      <c r="B61" s="406"/>
      <c r="C61" s="372"/>
      <c r="D61" s="372"/>
      <c r="E61" s="372"/>
      <c r="F61" s="372"/>
      <c r="G61" s="372"/>
      <c r="H61" s="372"/>
      <c r="I61" s="373"/>
      <c r="J61" s="373"/>
      <c r="K61" s="1030" t="s">
        <v>764</v>
      </c>
      <c r="L61" s="1030"/>
      <c r="M61" s="1031"/>
      <c r="N61" s="374">
        <f>N53+N42+N24</f>
        <v>2876.8344855967071</v>
      </c>
    </row>
    <row r="62" spans="1:14" ht="12" thickBot="1">
      <c r="A62" s="387"/>
      <c r="B62" s="372"/>
      <c r="C62" s="372"/>
      <c r="D62" s="372"/>
      <c r="E62" s="372"/>
      <c r="F62" s="372"/>
      <c r="G62" s="372"/>
      <c r="H62" s="372"/>
      <c r="I62" s="373"/>
      <c r="J62" s="1032" t="s">
        <v>765</v>
      </c>
      <c r="K62" s="1032"/>
      <c r="L62" s="1032"/>
      <c r="M62" s="1033"/>
      <c r="N62" s="399">
        <f>N59</f>
        <v>84.537037037037038</v>
      </c>
    </row>
    <row r="63" spans="1:14" ht="12" thickBot="1">
      <c r="A63" s="388"/>
      <c r="B63" s="389"/>
      <c r="C63" s="389"/>
      <c r="D63" s="389"/>
      <c r="E63" s="389"/>
      <c r="F63" s="389"/>
      <c r="G63" s="389"/>
      <c r="H63" s="389"/>
      <c r="I63" s="390"/>
      <c r="J63" s="390"/>
      <c r="K63" s="390"/>
      <c r="L63" s="391"/>
      <c r="M63" s="405" t="s">
        <v>393</v>
      </c>
      <c r="N63" s="392">
        <f>N61-N62</f>
        <v>2792.2974485596701</v>
      </c>
    </row>
    <row r="65" spans="1:14" ht="12" thickBot="1"/>
    <row r="66" spans="1:14" ht="13.5" customHeight="1" thickBot="1">
      <c r="A66" s="1034" t="s">
        <v>766</v>
      </c>
      <c r="B66" s="1035"/>
      <c r="C66" s="1035"/>
      <c r="D66" s="1035"/>
      <c r="E66" s="1035"/>
      <c r="F66" s="1035"/>
      <c r="G66" s="1035"/>
      <c r="H66" s="1035"/>
      <c r="I66" s="1035"/>
      <c r="J66" s="1035"/>
      <c r="K66" s="1035"/>
      <c r="L66" s="1035"/>
      <c r="M66" s="1035"/>
      <c r="N66" s="1036"/>
    </row>
    <row r="67" spans="1:14" ht="13.5" customHeight="1" thickBot="1">
      <c r="A67" s="1027"/>
      <c r="B67" s="1028"/>
      <c r="C67" s="1028"/>
      <c r="D67" s="1028"/>
      <c r="E67" s="1028"/>
      <c r="F67" s="1028"/>
      <c r="G67" s="1028"/>
      <c r="H67" s="1028"/>
      <c r="I67" s="1028"/>
      <c r="J67" s="1028"/>
      <c r="K67" s="1028"/>
      <c r="L67" s="1028"/>
      <c r="M67" s="1028"/>
      <c r="N67" s="1029"/>
    </row>
    <row r="68" spans="1:14" s="340" customFormat="1" ht="27.75" thickBot="1">
      <c r="A68" s="368" t="s">
        <v>748</v>
      </c>
      <c r="B68" s="368" t="s">
        <v>749</v>
      </c>
      <c r="C68" s="369" t="s">
        <v>728</v>
      </c>
      <c r="D68" s="369" t="s">
        <v>729</v>
      </c>
      <c r="E68" s="369" t="s">
        <v>757</v>
      </c>
      <c r="F68" s="369" t="s">
        <v>751</v>
      </c>
      <c r="G68" s="369" t="s">
        <v>752</v>
      </c>
      <c r="H68" s="369" t="s">
        <v>753</v>
      </c>
      <c r="I68" s="369" t="s">
        <v>754</v>
      </c>
      <c r="J68" s="369" t="s">
        <v>647</v>
      </c>
      <c r="K68" s="369" t="s">
        <v>648</v>
      </c>
      <c r="L68" s="369" t="s">
        <v>649</v>
      </c>
      <c r="M68" s="369" t="s">
        <v>650</v>
      </c>
      <c r="N68" s="370" t="s">
        <v>651</v>
      </c>
    </row>
    <row r="69" spans="1:14">
      <c r="A69" s="395" t="s">
        <v>755</v>
      </c>
      <c r="B69" s="377" t="s">
        <v>692</v>
      </c>
      <c r="C69" s="378">
        <v>10</v>
      </c>
      <c r="D69" s="378">
        <v>6.7930000000000001</v>
      </c>
      <c r="E69" s="378">
        <v>11.801</v>
      </c>
      <c r="F69" s="378">
        <v>0.15</v>
      </c>
      <c r="G69" s="378">
        <f t="shared" ref="G69:G72" si="112">(E69/F69)+1</f>
        <v>79.673333333333332</v>
      </c>
      <c r="H69" s="378">
        <v>81</v>
      </c>
      <c r="I69" s="379">
        <v>1</v>
      </c>
      <c r="J69" s="379">
        <f t="shared" ref="J69:J72" si="113">(15*C69*2)/1000</f>
        <v>0.3</v>
      </c>
      <c r="K69" s="378">
        <f t="shared" ref="K69:K72" si="114">(D69/6)*(0.04*C69)</f>
        <v>0.45286666666666675</v>
      </c>
      <c r="L69" s="378">
        <f>H69*(D69+J69+K69)*I69</f>
        <v>611.21519999999998</v>
      </c>
      <c r="M69" s="378">
        <f t="shared" ref="M69:M72" si="115">C69*C69/162</f>
        <v>0.61728395061728392</v>
      </c>
      <c r="N69" s="380">
        <f t="shared" ref="N69:N72" si="116">L69*M69</f>
        <v>377.29333333333329</v>
      </c>
    </row>
    <row r="70" spans="1:14">
      <c r="A70" s="400" t="s">
        <v>755</v>
      </c>
      <c r="B70" s="401" t="s">
        <v>692</v>
      </c>
      <c r="C70" s="397">
        <v>10</v>
      </c>
      <c r="D70" s="397">
        <v>11.801</v>
      </c>
      <c r="E70" s="397">
        <v>6.7930000000000001</v>
      </c>
      <c r="F70" s="397">
        <v>0.15</v>
      </c>
      <c r="G70" s="397">
        <f t="shared" si="112"/>
        <v>46.286666666666669</v>
      </c>
      <c r="H70" s="397">
        <v>47</v>
      </c>
      <c r="I70" s="366">
        <v>1</v>
      </c>
      <c r="J70" s="366">
        <f t="shared" si="113"/>
        <v>0.3</v>
      </c>
      <c r="K70" s="397">
        <f t="shared" si="114"/>
        <v>0.7867333333333334</v>
      </c>
      <c r="L70" s="397">
        <f>H70*(D70+J70+K70)*I70</f>
        <v>605.7234666666667</v>
      </c>
      <c r="M70" s="397">
        <f t="shared" si="115"/>
        <v>0.61728395061728392</v>
      </c>
      <c r="N70" s="398">
        <f t="shared" si="116"/>
        <v>373.90337448559671</v>
      </c>
    </row>
    <row r="71" spans="1:14">
      <c r="A71" s="400" t="s">
        <v>755</v>
      </c>
      <c r="B71" s="401" t="s">
        <v>692</v>
      </c>
      <c r="C71" s="397">
        <v>10</v>
      </c>
      <c r="D71" s="397">
        <v>4.41</v>
      </c>
      <c r="E71" s="397">
        <v>3.9529999999999998</v>
      </c>
      <c r="F71" s="397">
        <v>0.15</v>
      </c>
      <c r="G71" s="397">
        <f t="shared" si="112"/>
        <v>27.353333333333332</v>
      </c>
      <c r="H71" s="397">
        <v>29</v>
      </c>
      <c r="I71" s="366">
        <v>1</v>
      </c>
      <c r="J71" s="366">
        <f t="shared" si="113"/>
        <v>0.3</v>
      </c>
      <c r="K71" s="397">
        <f t="shared" si="114"/>
        <v>0.29399999999999998</v>
      </c>
      <c r="L71" s="397">
        <f>H71*(D71+J71+K71)*I71</f>
        <v>145.11599999999999</v>
      </c>
      <c r="M71" s="397">
        <f t="shared" si="115"/>
        <v>0.61728395061728392</v>
      </c>
      <c r="N71" s="398">
        <f t="shared" si="116"/>
        <v>89.577777777777769</v>
      </c>
    </row>
    <row r="72" spans="1:14">
      <c r="A72" s="400" t="s">
        <v>755</v>
      </c>
      <c r="B72" s="401" t="s">
        <v>692</v>
      </c>
      <c r="C72" s="397">
        <v>10</v>
      </c>
      <c r="D72" s="397">
        <v>3.9529999999999998</v>
      </c>
      <c r="E72" s="397">
        <v>4.41</v>
      </c>
      <c r="F72" s="397">
        <v>0.15</v>
      </c>
      <c r="G72" s="397">
        <f t="shared" si="112"/>
        <v>30.400000000000002</v>
      </c>
      <c r="H72" s="397">
        <v>32</v>
      </c>
      <c r="I72" s="366">
        <v>1</v>
      </c>
      <c r="J72" s="366">
        <f t="shared" si="113"/>
        <v>0.3</v>
      </c>
      <c r="K72" s="397">
        <f t="shared" si="114"/>
        <v>0.26353333333333334</v>
      </c>
      <c r="L72" s="397">
        <f t="shared" ref="L72" si="117">H72*(D72+J72+K72)*I72</f>
        <v>144.52906666666667</v>
      </c>
      <c r="M72" s="397">
        <f t="shared" si="115"/>
        <v>0.61728395061728392</v>
      </c>
      <c r="N72" s="398">
        <f t="shared" si="116"/>
        <v>89.215473251028797</v>
      </c>
    </row>
    <row r="73" spans="1:14" ht="12" thickBot="1">
      <c r="A73" s="400"/>
      <c r="B73" s="401"/>
      <c r="C73" s="397"/>
      <c r="D73" s="397"/>
      <c r="E73" s="397"/>
      <c r="F73" s="397"/>
      <c r="G73" s="397"/>
      <c r="H73" s="397"/>
      <c r="I73" s="366"/>
      <c r="J73" s="366"/>
      <c r="K73" s="397"/>
      <c r="L73" s="397"/>
      <c r="M73" s="397"/>
      <c r="N73" s="398"/>
    </row>
    <row r="74" spans="1:14" ht="12" thickBot="1">
      <c r="A74" s="371"/>
      <c r="B74" s="371"/>
      <c r="C74" s="372"/>
      <c r="D74" s="372"/>
      <c r="E74" s="372"/>
      <c r="F74" s="372"/>
      <c r="G74" s="372"/>
      <c r="H74" s="372"/>
      <c r="I74" s="373"/>
      <c r="J74" s="373"/>
      <c r="K74" s="372"/>
      <c r="L74" s="372"/>
      <c r="M74" s="393" t="s">
        <v>393</v>
      </c>
      <c r="N74" s="374">
        <f>SUM(N69:N73)</f>
        <v>929.9899588477366</v>
      </c>
    </row>
    <row r="75" spans="1:14">
      <c r="A75" s="376" t="s">
        <v>758</v>
      </c>
      <c r="B75" s="384" t="s">
        <v>759</v>
      </c>
      <c r="C75" s="378">
        <v>10</v>
      </c>
      <c r="D75" s="378">
        <v>1.8</v>
      </c>
      <c r="E75" s="378">
        <v>5.4450000000000003</v>
      </c>
      <c r="F75" s="378">
        <v>0.15</v>
      </c>
      <c r="G75" s="397">
        <f t="shared" ref="G75:G77" si="118">(E75/F75)+1</f>
        <v>37.300000000000004</v>
      </c>
      <c r="H75" s="397">
        <v>39</v>
      </c>
      <c r="I75" s="379">
        <v>2</v>
      </c>
      <c r="J75" s="366">
        <f t="shared" ref="J75:J77" si="119">(15*C75*1)/1000</f>
        <v>0.15</v>
      </c>
      <c r="K75" s="378">
        <v>0</v>
      </c>
      <c r="L75" s="397">
        <f t="shared" ref="L75:L77" si="120">H75*(D75+J75+K75)*I75</f>
        <v>152.1</v>
      </c>
      <c r="M75" s="397">
        <f t="shared" ref="M75:M77" si="121">C75*C75/162</f>
        <v>0.61728395061728392</v>
      </c>
      <c r="N75" s="398">
        <f t="shared" ref="N75:N77" si="122">L75*M75</f>
        <v>93.888888888888886</v>
      </c>
    </row>
    <row r="76" spans="1:14">
      <c r="A76" s="376" t="s">
        <v>758</v>
      </c>
      <c r="B76" s="396" t="s">
        <v>759</v>
      </c>
      <c r="C76" s="397">
        <v>10</v>
      </c>
      <c r="D76" s="397">
        <v>4</v>
      </c>
      <c r="E76" s="397">
        <v>6.4</v>
      </c>
      <c r="F76" s="397">
        <v>0.15</v>
      </c>
      <c r="G76" s="397">
        <f t="shared" si="118"/>
        <v>43.666666666666671</v>
      </c>
      <c r="H76" s="397">
        <v>45</v>
      </c>
      <c r="I76" s="366">
        <v>2</v>
      </c>
      <c r="J76" s="366">
        <f t="shared" si="119"/>
        <v>0.15</v>
      </c>
      <c r="K76" s="397">
        <v>0</v>
      </c>
      <c r="L76" s="397">
        <f t="shared" si="120"/>
        <v>373.50000000000006</v>
      </c>
      <c r="M76" s="397">
        <f t="shared" si="121"/>
        <v>0.61728395061728392</v>
      </c>
      <c r="N76" s="398">
        <f t="shared" si="122"/>
        <v>230.55555555555557</v>
      </c>
    </row>
    <row r="77" spans="1:14">
      <c r="A77" s="376" t="s">
        <v>758</v>
      </c>
      <c r="B77" s="396" t="s">
        <v>759</v>
      </c>
      <c r="C77" s="397">
        <v>10</v>
      </c>
      <c r="D77" s="397">
        <v>2</v>
      </c>
      <c r="E77" s="397">
        <v>7.33</v>
      </c>
      <c r="F77" s="397">
        <v>0.15</v>
      </c>
      <c r="G77" s="397">
        <f t="shared" si="118"/>
        <v>49.866666666666667</v>
      </c>
      <c r="H77" s="397">
        <v>51</v>
      </c>
      <c r="I77" s="366">
        <v>1</v>
      </c>
      <c r="J77" s="366">
        <f t="shared" si="119"/>
        <v>0.15</v>
      </c>
      <c r="K77" s="397">
        <v>0</v>
      </c>
      <c r="L77" s="397">
        <f t="shared" si="120"/>
        <v>109.64999999999999</v>
      </c>
      <c r="M77" s="397">
        <f t="shared" si="121"/>
        <v>0.61728395061728392</v>
      </c>
      <c r="N77" s="398">
        <f t="shared" si="122"/>
        <v>67.685185185185176</v>
      </c>
    </row>
    <row r="78" spans="1:14">
      <c r="A78" s="376"/>
      <c r="B78" s="396"/>
      <c r="C78" s="397"/>
      <c r="D78" s="397"/>
      <c r="E78" s="397"/>
      <c r="F78" s="397"/>
      <c r="G78" s="397"/>
      <c r="H78" s="397"/>
      <c r="I78" s="366"/>
      <c r="J78" s="366"/>
      <c r="K78" s="397"/>
      <c r="L78" s="397"/>
      <c r="M78" s="397"/>
      <c r="N78" s="398"/>
    </row>
    <row r="79" spans="1:14">
      <c r="A79" s="376" t="s">
        <v>758</v>
      </c>
      <c r="B79" s="396" t="s">
        <v>759</v>
      </c>
      <c r="C79" s="397">
        <v>10</v>
      </c>
      <c r="D79" s="397">
        <v>1</v>
      </c>
      <c r="E79" s="397">
        <v>3.55</v>
      </c>
      <c r="F79" s="397">
        <v>0.15</v>
      </c>
      <c r="G79" s="397">
        <f t="shared" ref="G79" si="123">(E79/F79)+1</f>
        <v>24.666666666666668</v>
      </c>
      <c r="H79" s="397">
        <v>26</v>
      </c>
      <c r="I79" s="366">
        <v>1</v>
      </c>
      <c r="J79" s="366">
        <f t="shared" ref="J79" si="124">(15*C79*1)/1000</f>
        <v>0.15</v>
      </c>
      <c r="K79" s="397">
        <v>0</v>
      </c>
      <c r="L79" s="397">
        <f t="shared" ref="L79" si="125">H79*(D79+J79+K79)*I79</f>
        <v>29.9</v>
      </c>
      <c r="M79" s="397">
        <f t="shared" ref="M79" si="126">C79*C79/162</f>
        <v>0.61728395061728392</v>
      </c>
      <c r="N79" s="398">
        <f t="shared" ref="N79" si="127">L79*M79</f>
        <v>18.456790123456788</v>
      </c>
    </row>
    <row r="80" spans="1:14">
      <c r="A80" s="376" t="s">
        <v>758</v>
      </c>
      <c r="B80" s="396" t="s">
        <v>759</v>
      </c>
      <c r="C80" s="397">
        <v>10</v>
      </c>
      <c r="D80" s="397">
        <v>2.5</v>
      </c>
      <c r="E80" s="397">
        <v>3.55</v>
      </c>
      <c r="F80" s="397">
        <v>0.15</v>
      </c>
      <c r="G80" s="397">
        <f t="shared" ref="G80" si="128">(E80/F80)+1</f>
        <v>24.666666666666668</v>
      </c>
      <c r="H80" s="397">
        <v>26</v>
      </c>
      <c r="I80" s="366">
        <v>1</v>
      </c>
      <c r="J80" s="366">
        <f t="shared" ref="J80" si="129">(15*C80*1)/1000</f>
        <v>0.15</v>
      </c>
      <c r="K80" s="397">
        <v>0</v>
      </c>
      <c r="L80" s="397">
        <f t="shared" ref="L80" si="130">H80*(D80+J80+K80)*I80</f>
        <v>68.899999999999991</v>
      </c>
      <c r="M80" s="397">
        <f t="shared" ref="M80" si="131">C80*C80/162</f>
        <v>0.61728395061728392</v>
      </c>
      <c r="N80" s="398">
        <f t="shared" ref="N80" si="132">L80*M80</f>
        <v>42.530864197530853</v>
      </c>
    </row>
    <row r="81" spans="1:14">
      <c r="A81" s="376" t="s">
        <v>758</v>
      </c>
      <c r="B81" s="396" t="s">
        <v>760</v>
      </c>
      <c r="C81" s="397">
        <v>10</v>
      </c>
      <c r="D81" s="397">
        <v>2</v>
      </c>
      <c r="E81" s="397">
        <v>5.5</v>
      </c>
      <c r="F81" s="397">
        <v>0.15</v>
      </c>
      <c r="G81" s="397">
        <f t="shared" ref="G81" si="133">(E81/F81)+1</f>
        <v>37.666666666666671</v>
      </c>
      <c r="H81" s="397">
        <v>39</v>
      </c>
      <c r="I81" s="366">
        <v>1</v>
      </c>
      <c r="J81" s="366">
        <f t="shared" ref="J81" si="134">(15*C81*1)/1000</f>
        <v>0.15</v>
      </c>
      <c r="K81" s="397">
        <v>0</v>
      </c>
      <c r="L81" s="397">
        <f t="shared" ref="L81" si="135">H81*(D81+J81+K81)*I81</f>
        <v>83.85</v>
      </c>
      <c r="M81" s="397">
        <f t="shared" ref="M81" si="136">C81*C81/162</f>
        <v>0.61728395061728392</v>
      </c>
      <c r="N81" s="398">
        <f t="shared" ref="N81" si="137">L81*M81</f>
        <v>51.759259259259252</v>
      </c>
    </row>
    <row r="82" spans="1:14">
      <c r="A82" s="376" t="s">
        <v>758</v>
      </c>
      <c r="B82" s="396" t="s">
        <v>760</v>
      </c>
      <c r="C82" s="397">
        <v>10</v>
      </c>
      <c r="D82" s="397">
        <v>1.2</v>
      </c>
      <c r="E82" s="397">
        <v>5.65</v>
      </c>
      <c r="F82" s="397">
        <v>0.15</v>
      </c>
      <c r="G82" s="397">
        <f t="shared" ref="G82" si="138">(E82/F82)+1</f>
        <v>38.666666666666671</v>
      </c>
      <c r="H82" s="397">
        <v>39</v>
      </c>
      <c r="I82" s="366">
        <v>1</v>
      </c>
      <c r="J82" s="366">
        <f t="shared" ref="J82" si="139">(15*C82*1)/1000</f>
        <v>0.15</v>
      </c>
      <c r="K82" s="397">
        <v>0</v>
      </c>
      <c r="L82" s="397">
        <f t="shared" ref="L82" si="140">H82*(D82+J82+K82)*I82</f>
        <v>52.649999999999991</v>
      </c>
      <c r="M82" s="397">
        <f t="shared" ref="M82" si="141">C82*C82/162</f>
        <v>0.61728395061728392</v>
      </c>
      <c r="N82" s="398">
        <f t="shared" ref="N82" si="142">L82*M82</f>
        <v>32.499999999999993</v>
      </c>
    </row>
    <row r="83" spans="1:14">
      <c r="A83" s="376" t="s">
        <v>758</v>
      </c>
      <c r="B83" s="396" t="s">
        <v>760</v>
      </c>
      <c r="C83" s="397">
        <v>10</v>
      </c>
      <c r="D83" s="397">
        <v>2</v>
      </c>
      <c r="E83" s="397">
        <v>5.6749999999999998</v>
      </c>
      <c r="F83" s="397">
        <v>0.15</v>
      </c>
      <c r="G83" s="397">
        <f t="shared" ref="G83" si="143">(E83/F83)+1</f>
        <v>38.833333333333336</v>
      </c>
      <c r="H83" s="397">
        <v>40</v>
      </c>
      <c r="I83" s="366">
        <v>1</v>
      </c>
      <c r="J83" s="366">
        <f t="shared" ref="J83" si="144">(15*C83*1)/1000</f>
        <v>0.15</v>
      </c>
      <c r="K83" s="397">
        <v>0</v>
      </c>
      <c r="L83" s="397">
        <f t="shared" ref="L83" si="145">H83*(D83+J83+K83)*I83</f>
        <v>86</v>
      </c>
      <c r="M83" s="397">
        <f t="shared" ref="M83" si="146">C83*C83/162</f>
        <v>0.61728395061728392</v>
      </c>
      <c r="N83" s="398">
        <f t="shared" ref="N83" si="147">L83*M83</f>
        <v>53.086419753086417</v>
      </c>
    </row>
    <row r="84" spans="1:14">
      <c r="A84" s="376" t="s">
        <v>758</v>
      </c>
      <c r="B84" s="396" t="s">
        <v>760</v>
      </c>
      <c r="C84" s="397">
        <v>10</v>
      </c>
      <c r="D84" s="397">
        <v>1.2</v>
      </c>
      <c r="E84" s="397">
        <v>5.7249999999999996</v>
      </c>
      <c r="F84" s="397">
        <v>0.15</v>
      </c>
      <c r="G84" s="397">
        <f t="shared" ref="G84" si="148">(E84/F84)+1</f>
        <v>39.166666666666664</v>
      </c>
      <c r="H84" s="397">
        <v>40</v>
      </c>
      <c r="I84" s="366">
        <v>1</v>
      </c>
      <c r="J84" s="366">
        <f t="shared" ref="J84" si="149">(15*C84*1)/1000</f>
        <v>0.15</v>
      </c>
      <c r="K84" s="397">
        <v>0</v>
      </c>
      <c r="L84" s="397">
        <f t="shared" ref="L84" si="150">H84*(D84+J84+K84)*I84</f>
        <v>53.999999999999993</v>
      </c>
      <c r="M84" s="397">
        <f t="shared" ref="M84" si="151">C84*C84/162</f>
        <v>0.61728395061728392</v>
      </c>
      <c r="N84" s="398">
        <f t="shared" ref="N84" si="152">L84*M84</f>
        <v>33.333333333333329</v>
      </c>
    </row>
    <row r="85" spans="1:14">
      <c r="A85" s="376" t="s">
        <v>758</v>
      </c>
      <c r="B85" s="396" t="s">
        <v>760</v>
      </c>
      <c r="C85" s="397">
        <v>10</v>
      </c>
      <c r="D85" s="397">
        <v>2.4</v>
      </c>
      <c r="E85" s="397">
        <v>5.65</v>
      </c>
      <c r="F85" s="397">
        <v>0.15</v>
      </c>
      <c r="G85" s="397">
        <f t="shared" ref="G85" si="153">(E85/F85)+1</f>
        <v>38.666666666666671</v>
      </c>
      <c r="H85" s="397">
        <v>40</v>
      </c>
      <c r="I85" s="366">
        <v>1</v>
      </c>
      <c r="J85" s="366">
        <f t="shared" ref="J85" si="154">(15*C85*1)/1000</f>
        <v>0.15</v>
      </c>
      <c r="K85" s="397">
        <v>0</v>
      </c>
      <c r="L85" s="397">
        <f t="shared" ref="L85" si="155">H85*(D85+J85+K85)*I85</f>
        <v>102</v>
      </c>
      <c r="M85" s="397">
        <f t="shared" ref="M85" si="156">C85*C85/162</f>
        <v>0.61728395061728392</v>
      </c>
      <c r="N85" s="398">
        <f t="shared" ref="N85" si="157">L85*M85</f>
        <v>62.962962962962962</v>
      </c>
    </row>
    <row r="86" spans="1:14">
      <c r="A86" s="376" t="s">
        <v>758</v>
      </c>
      <c r="B86" s="396" t="s">
        <v>760</v>
      </c>
      <c r="C86" s="397">
        <v>10</v>
      </c>
      <c r="D86" s="397">
        <v>1.5</v>
      </c>
      <c r="E86" s="397">
        <v>2.75</v>
      </c>
      <c r="F86" s="397">
        <v>0.15</v>
      </c>
      <c r="G86" s="397">
        <f t="shared" ref="G86" si="158">(E86/F86)+1</f>
        <v>19.333333333333336</v>
      </c>
      <c r="H86" s="397">
        <v>21</v>
      </c>
      <c r="I86" s="366">
        <v>2</v>
      </c>
      <c r="J86" s="366">
        <f t="shared" ref="J86" si="159">(15*C86*1)/1000</f>
        <v>0.15</v>
      </c>
      <c r="K86" s="397">
        <v>0</v>
      </c>
      <c r="L86" s="397">
        <f t="shared" ref="L86" si="160">H86*(D86+J86+K86)*I86</f>
        <v>69.3</v>
      </c>
      <c r="M86" s="397">
        <f t="shared" ref="M86" si="161">C86*C86/162</f>
        <v>0.61728395061728392</v>
      </c>
      <c r="N86" s="398">
        <f t="shared" ref="N86" si="162">L86*M86</f>
        <v>42.777777777777771</v>
      </c>
    </row>
    <row r="87" spans="1:14" ht="12" thickBot="1">
      <c r="A87" s="376"/>
      <c r="B87" s="396"/>
      <c r="C87" s="397"/>
      <c r="D87" s="397"/>
      <c r="E87" s="397"/>
      <c r="F87" s="397"/>
      <c r="G87" s="397"/>
      <c r="H87" s="397"/>
      <c r="I87" s="366"/>
      <c r="J87" s="366"/>
      <c r="K87" s="397"/>
      <c r="L87" s="397"/>
      <c r="M87" s="397"/>
      <c r="N87" s="398"/>
    </row>
    <row r="88" spans="1:14" ht="12" thickBot="1">
      <c r="A88" s="375"/>
      <c r="B88" s="375"/>
      <c r="C88" s="372"/>
      <c r="D88" s="372"/>
      <c r="E88" s="372"/>
      <c r="F88" s="372"/>
      <c r="G88" s="372"/>
      <c r="H88" s="372"/>
      <c r="I88" s="373"/>
      <c r="J88" s="373"/>
      <c r="K88" s="372"/>
      <c r="L88" s="372"/>
      <c r="M88" s="393" t="s">
        <v>393</v>
      </c>
      <c r="N88" s="374">
        <f>SUM(N75:N87)</f>
        <v>729.53703703703695</v>
      </c>
    </row>
    <row r="89" spans="1:14">
      <c r="A89" s="376" t="s">
        <v>761</v>
      </c>
      <c r="B89" s="396" t="s">
        <v>759</v>
      </c>
      <c r="C89" s="397">
        <v>10</v>
      </c>
      <c r="D89" s="397">
        <v>5.4450000000000003</v>
      </c>
      <c r="E89" s="397">
        <v>1.8</v>
      </c>
      <c r="F89" s="397">
        <v>0.3</v>
      </c>
      <c r="G89" s="397">
        <f t="shared" ref="G89" si="163">(E89/F89)+1</f>
        <v>7</v>
      </c>
      <c r="H89" s="397">
        <v>8</v>
      </c>
      <c r="I89" s="366">
        <v>1</v>
      </c>
      <c r="J89" s="366">
        <f>(15*C89*1)/1000</f>
        <v>0.15</v>
      </c>
      <c r="K89" s="397">
        <f t="shared" ref="K89" si="164">(D89/6)*(0.04*C89)</f>
        <v>0.36300000000000004</v>
      </c>
      <c r="L89" s="397">
        <f t="shared" ref="L89" si="165">H89*(D89+J89+K89)*I89</f>
        <v>47.664000000000009</v>
      </c>
      <c r="M89" s="397">
        <f t="shared" ref="M89" si="166">C89*C89/162</f>
        <v>0.61728395061728392</v>
      </c>
      <c r="N89" s="398">
        <f t="shared" ref="N89" si="167">L89*M89</f>
        <v>29.422222222222224</v>
      </c>
    </row>
    <row r="90" spans="1:14">
      <c r="A90" s="376" t="s">
        <v>761</v>
      </c>
      <c r="B90" s="396" t="s">
        <v>759</v>
      </c>
      <c r="C90" s="397">
        <v>10</v>
      </c>
      <c r="D90" s="397">
        <v>6.407</v>
      </c>
      <c r="E90" s="397">
        <v>4</v>
      </c>
      <c r="F90" s="397">
        <v>0.3</v>
      </c>
      <c r="G90" s="397">
        <f t="shared" ref="G90" si="168">(E90/F90)+1</f>
        <v>14.333333333333334</v>
      </c>
      <c r="H90" s="397">
        <v>16</v>
      </c>
      <c r="I90" s="366">
        <v>1</v>
      </c>
      <c r="J90" s="366">
        <f>(15*C90*1)/1000</f>
        <v>0.15</v>
      </c>
      <c r="K90" s="397">
        <f t="shared" ref="K90" si="169">(D90/6)*(0.04*C90)</f>
        <v>0.42713333333333336</v>
      </c>
      <c r="L90" s="397">
        <f t="shared" ref="L90" si="170">H90*(D90+J90+K90)*I90</f>
        <v>111.74613333333335</v>
      </c>
      <c r="M90" s="397">
        <f t="shared" ref="M90" si="171">C90*C90/162</f>
        <v>0.61728395061728392</v>
      </c>
      <c r="N90" s="398">
        <f t="shared" ref="N90" si="172">L90*M90</f>
        <v>68.979094650205766</v>
      </c>
    </row>
    <row r="91" spans="1:14">
      <c r="A91" s="376" t="s">
        <v>761</v>
      </c>
      <c r="B91" s="396" t="s">
        <v>759</v>
      </c>
      <c r="C91" s="397">
        <v>10</v>
      </c>
      <c r="D91" s="397">
        <v>7.53</v>
      </c>
      <c r="E91" s="397">
        <v>2</v>
      </c>
      <c r="F91" s="397">
        <v>0.3</v>
      </c>
      <c r="G91" s="397">
        <f t="shared" ref="G91" si="173">(E91/F91)+1</f>
        <v>7.666666666666667</v>
      </c>
      <c r="H91" s="397">
        <v>9</v>
      </c>
      <c r="I91" s="366">
        <v>1</v>
      </c>
      <c r="J91" s="366">
        <f>(15*C91*1)/1000</f>
        <v>0.15</v>
      </c>
      <c r="K91" s="397">
        <f t="shared" ref="K91" si="174">(D91/6)*(0.04*C91)</f>
        <v>0.50200000000000011</v>
      </c>
      <c r="L91" s="397">
        <f t="shared" ref="L91" si="175">H91*(D91+J91+K91)*I91</f>
        <v>73.638000000000005</v>
      </c>
      <c r="M91" s="397">
        <f t="shared" ref="M91" si="176">C91*C91/162</f>
        <v>0.61728395061728392</v>
      </c>
      <c r="N91" s="398">
        <f t="shared" ref="N91" si="177">L91*M91</f>
        <v>45.455555555555556</v>
      </c>
    </row>
    <row r="92" spans="1:14">
      <c r="A92" s="376" t="s">
        <v>761</v>
      </c>
      <c r="B92" s="396" t="s">
        <v>759</v>
      </c>
      <c r="C92" s="397">
        <v>10</v>
      </c>
      <c r="D92" s="397">
        <v>3.55</v>
      </c>
      <c r="E92" s="397">
        <v>1</v>
      </c>
      <c r="F92" s="397">
        <v>0.3</v>
      </c>
      <c r="G92" s="397">
        <f t="shared" ref="G92" si="178">(E92/F92)+1</f>
        <v>4.3333333333333339</v>
      </c>
      <c r="H92" s="397">
        <v>5</v>
      </c>
      <c r="I92" s="366">
        <v>2</v>
      </c>
      <c r="J92" s="366">
        <f>(15*C92*1)/1000</f>
        <v>0.15</v>
      </c>
      <c r="K92" s="397">
        <f t="shared" ref="K92" si="179">(D92/6)*(0.04*C92)</f>
        <v>0.23666666666666669</v>
      </c>
      <c r="L92" s="397">
        <f t="shared" ref="L92" si="180">H92*(D92+J92+K92)*I92</f>
        <v>39.366666666666667</v>
      </c>
      <c r="M92" s="397">
        <f t="shared" ref="M92" si="181">C92*C92/162</f>
        <v>0.61728395061728392</v>
      </c>
      <c r="N92" s="398">
        <f t="shared" ref="N92" si="182">L92*M92</f>
        <v>24.300411522633745</v>
      </c>
    </row>
    <row r="93" spans="1:14">
      <c r="A93" s="376"/>
      <c r="B93" s="396"/>
      <c r="C93" s="397"/>
      <c r="D93" s="397"/>
      <c r="E93" s="397"/>
      <c r="F93" s="397"/>
      <c r="G93" s="397"/>
      <c r="H93" s="397"/>
      <c r="I93" s="366"/>
      <c r="J93" s="366"/>
      <c r="K93" s="397"/>
      <c r="L93" s="397"/>
      <c r="M93" s="397"/>
      <c r="N93" s="398"/>
    </row>
    <row r="94" spans="1:14">
      <c r="A94" s="376" t="s">
        <v>761</v>
      </c>
      <c r="B94" s="396" t="s">
        <v>759</v>
      </c>
      <c r="C94" s="397">
        <v>10</v>
      </c>
      <c r="D94" s="397">
        <v>11.4</v>
      </c>
      <c r="E94" s="397">
        <v>1.5</v>
      </c>
      <c r="F94" s="397">
        <v>0.3</v>
      </c>
      <c r="G94" s="397">
        <f t="shared" ref="G94" si="183">(E94/F94)+1</f>
        <v>6</v>
      </c>
      <c r="H94" s="397">
        <v>7</v>
      </c>
      <c r="I94" s="366">
        <v>1</v>
      </c>
      <c r="J94" s="366">
        <f>(15*C94*1)/1000</f>
        <v>0.15</v>
      </c>
      <c r="K94" s="397">
        <f t="shared" ref="K94" si="184">(D94/6)*(0.04*C94)</f>
        <v>0.76000000000000012</v>
      </c>
      <c r="L94" s="397">
        <f t="shared" ref="L94" si="185">H94*(D94+J94+K94)*I94</f>
        <v>86.17</v>
      </c>
      <c r="M94" s="397">
        <f t="shared" ref="M94" si="186">C94*C94/162</f>
        <v>0.61728395061728392</v>
      </c>
      <c r="N94" s="398">
        <f t="shared" ref="N94" si="187">L94*M94</f>
        <v>53.191358024691354</v>
      </c>
    </row>
    <row r="95" spans="1:14">
      <c r="A95" s="376" t="s">
        <v>761</v>
      </c>
      <c r="B95" s="396" t="s">
        <v>759</v>
      </c>
      <c r="C95" s="397">
        <v>10</v>
      </c>
      <c r="D95" s="397">
        <v>11.65</v>
      </c>
      <c r="E95" s="397">
        <v>1.5</v>
      </c>
      <c r="F95" s="397">
        <v>0.3</v>
      </c>
      <c r="G95" s="397">
        <f t="shared" ref="G95" si="188">(E95/F95)+1</f>
        <v>6</v>
      </c>
      <c r="H95" s="397">
        <v>7</v>
      </c>
      <c r="I95" s="366">
        <v>1</v>
      </c>
      <c r="J95" s="366">
        <f>(15*C95*1)/1000</f>
        <v>0.15</v>
      </c>
      <c r="K95" s="397">
        <f t="shared" ref="K95" si="189">(D95/6)*(0.04*C95)</f>
        <v>0.77666666666666673</v>
      </c>
      <c r="L95" s="397">
        <f t="shared" ref="L95" si="190">H95*(D95+J95+K95)*I95</f>
        <v>88.036666666666676</v>
      </c>
      <c r="M95" s="397">
        <f t="shared" ref="M95" si="191">C95*C95/162</f>
        <v>0.61728395061728392</v>
      </c>
      <c r="N95" s="398">
        <f t="shared" ref="N95" si="192">L95*M95</f>
        <v>54.343621399176961</v>
      </c>
    </row>
    <row r="96" spans="1:14">
      <c r="A96" s="376" t="s">
        <v>761</v>
      </c>
      <c r="B96" s="396" t="s">
        <v>759</v>
      </c>
      <c r="C96" s="397">
        <v>10</v>
      </c>
      <c r="D96" s="397">
        <v>5.65</v>
      </c>
      <c r="E96" s="397">
        <v>2.4</v>
      </c>
      <c r="F96" s="397">
        <v>0.3</v>
      </c>
      <c r="G96" s="397">
        <f t="shared" ref="G96:G97" si="193">(E96/F96)+1</f>
        <v>9</v>
      </c>
      <c r="H96" s="397">
        <v>10</v>
      </c>
      <c r="I96" s="366">
        <v>1</v>
      </c>
      <c r="J96" s="366">
        <f>(15*C96*1)/1000</f>
        <v>0.15</v>
      </c>
      <c r="K96" s="397">
        <f t="shared" ref="K96:K97" si="194">(D96/6)*(0.04*C96)</f>
        <v>0.37666666666666671</v>
      </c>
      <c r="L96" s="397">
        <f t="shared" ref="L96:L97" si="195">H96*(D96+J96+K96)*I96</f>
        <v>61.76666666666668</v>
      </c>
      <c r="M96" s="397">
        <f t="shared" ref="M96:M97" si="196">C96*C96/162</f>
        <v>0.61728395061728392</v>
      </c>
      <c r="N96" s="398">
        <f t="shared" ref="N96:N97" si="197">L96*M96</f>
        <v>38.12757201646091</v>
      </c>
    </row>
    <row r="97" spans="1:14">
      <c r="A97" s="376" t="s">
        <v>761</v>
      </c>
      <c r="B97" s="396" t="s">
        <v>759</v>
      </c>
      <c r="C97" s="397">
        <v>10</v>
      </c>
      <c r="D97" s="397">
        <v>11.65</v>
      </c>
      <c r="E97" s="397">
        <v>1.5</v>
      </c>
      <c r="F97" s="397">
        <v>0.3</v>
      </c>
      <c r="G97" s="397">
        <f t="shared" si="193"/>
        <v>6</v>
      </c>
      <c r="H97" s="397">
        <v>7</v>
      </c>
      <c r="I97" s="366">
        <v>1</v>
      </c>
      <c r="J97" s="366">
        <f>(15*C97*1)/1000</f>
        <v>0.15</v>
      </c>
      <c r="K97" s="397">
        <f t="shared" si="194"/>
        <v>0.77666666666666673</v>
      </c>
      <c r="L97" s="397">
        <f t="shared" si="195"/>
        <v>88.036666666666676</v>
      </c>
      <c r="M97" s="397">
        <f t="shared" si="196"/>
        <v>0.61728395061728392</v>
      </c>
      <c r="N97" s="398">
        <f t="shared" si="197"/>
        <v>54.343621399176961</v>
      </c>
    </row>
    <row r="98" spans="1:14">
      <c r="A98" s="376" t="s">
        <v>761</v>
      </c>
      <c r="B98" s="396" t="s">
        <v>759</v>
      </c>
      <c r="C98" s="397">
        <v>10</v>
      </c>
      <c r="D98" s="397">
        <v>5.65</v>
      </c>
      <c r="E98" s="397">
        <v>2.4</v>
      </c>
      <c r="F98" s="397">
        <v>0.3</v>
      </c>
      <c r="G98" s="397">
        <f t="shared" ref="G98" si="198">(E98/F98)+1</f>
        <v>9</v>
      </c>
      <c r="H98" s="397">
        <v>10</v>
      </c>
      <c r="I98" s="366">
        <v>1</v>
      </c>
      <c r="J98" s="366">
        <f>(15*C98*1)/1000</f>
        <v>0.15</v>
      </c>
      <c r="K98" s="397">
        <f t="shared" ref="K98" si="199">(D98/6)*(0.04*C98)</f>
        <v>0.37666666666666671</v>
      </c>
      <c r="L98" s="397">
        <f t="shared" ref="L98" si="200">H98*(D98+J98+K98)*I98</f>
        <v>61.76666666666668</v>
      </c>
      <c r="M98" s="397">
        <f t="shared" ref="M98" si="201">C98*C98/162</f>
        <v>0.61728395061728392</v>
      </c>
      <c r="N98" s="398">
        <f t="shared" ref="N98" si="202">L98*M98</f>
        <v>38.12757201646091</v>
      </c>
    </row>
    <row r="99" spans="1:14" ht="12" thickBot="1">
      <c r="A99" s="376"/>
      <c r="B99" s="385"/>
      <c r="C99" s="382"/>
      <c r="D99" s="382"/>
      <c r="E99" s="382"/>
      <c r="F99" s="382"/>
      <c r="G99" s="382"/>
      <c r="H99" s="382"/>
      <c r="I99" s="353"/>
      <c r="J99" s="353"/>
      <c r="K99" s="382"/>
      <c r="L99" s="382"/>
      <c r="M99" s="382"/>
      <c r="N99" s="383"/>
    </row>
    <row r="100" spans="1:14" ht="12" thickBot="1">
      <c r="A100" s="375"/>
      <c r="B100" s="375"/>
      <c r="C100" s="372"/>
      <c r="D100" s="372"/>
      <c r="E100" s="372"/>
      <c r="F100" s="372"/>
      <c r="G100" s="372"/>
      <c r="H100" s="372"/>
      <c r="I100" s="373"/>
      <c r="J100" s="373"/>
      <c r="K100" s="372"/>
      <c r="L100" s="372"/>
      <c r="M100" s="394" t="s">
        <v>393</v>
      </c>
      <c r="N100" s="374">
        <f>SUM(N89:N99)</f>
        <v>406.29102880658445</v>
      </c>
    </row>
    <row r="101" spans="1:14" ht="13.5">
      <c r="A101" s="386" t="s">
        <v>762</v>
      </c>
      <c r="B101" s="402"/>
      <c r="C101" s="403"/>
      <c r="D101" s="403"/>
      <c r="E101" s="403"/>
      <c r="F101" s="403"/>
      <c r="G101" s="403"/>
      <c r="H101" s="403"/>
      <c r="I101" s="403"/>
      <c r="J101" s="403"/>
      <c r="K101" s="403"/>
      <c r="L101" s="403"/>
      <c r="M101" s="403"/>
      <c r="N101" s="404"/>
    </row>
    <row r="102" spans="1:14">
      <c r="A102" s="376"/>
      <c r="B102" s="401"/>
      <c r="C102" s="397"/>
      <c r="D102" s="397"/>
      <c r="E102" s="397"/>
      <c r="F102" s="397"/>
      <c r="G102" s="397"/>
      <c r="H102" s="397"/>
      <c r="I102" s="366"/>
      <c r="J102" s="366"/>
      <c r="K102" s="397"/>
      <c r="L102" s="397"/>
      <c r="M102" s="397"/>
      <c r="N102" s="398"/>
    </row>
    <row r="103" spans="1:14">
      <c r="A103" s="376"/>
      <c r="B103" s="401"/>
      <c r="C103" s="397"/>
      <c r="D103" s="397"/>
      <c r="E103" s="397"/>
      <c r="F103" s="397"/>
      <c r="G103" s="397"/>
      <c r="H103" s="397"/>
      <c r="I103" s="366"/>
      <c r="J103" s="366"/>
      <c r="K103" s="397"/>
      <c r="L103" s="397"/>
      <c r="M103" s="397"/>
      <c r="N103" s="398"/>
    </row>
    <row r="104" spans="1:14">
      <c r="A104" s="376"/>
      <c r="B104" s="401"/>
      <c r="C104" s="397"/>
      <c r="D104" s="397"/>
      <c r="E104" s="397"/>
      <c r="F104" s="397"/>
      <c r="G104" s="397"/>
      <c r="H104" s="397"/>
      <c r="I104" s="366"/>
      <c r="J104" s="366"/>
      <c r="K104" s="397"/>
      <c r="L104" s="397"/>
      <c r="M104" s="397"/>
      <c r="N104" s="398"/>
    </row>
    <row r="105" spans="1:14" ht="12" thickBot="1">
      <c r="A105" s="376"/>
      <c r="B105" s="381"/>
      <c r="C105" s="382"/>
      <c r="D105" s="382"/>
      <c r="E105" s="382"/>
      <c r="F105" s="382"/>
      <c r="G105" s="382"/>
      <c r="H105" s="382"/>
      <c r="I105" s="353"/>
      <c r="J105" s="353"/>
      <c r="K105" s="382"/>
      <c r="L105" s="382"/>
      <c r="M105" s="382"/>
      <c r="N105" s="383"/>
    </row>
    <row r="106" spans="1:14" ht="12" thickBot="1">
      <c r="A106" s="375"/>
      <c r="B106" s="406"/>
      <c r="C106" s="372"/>
      <c r="D106" s="372"/>
      <c r="E106" s="372"/>
      <c r="F106" s="372"/>
      <c r="G106" s="372"/>
      <c r="H106" s="372"/>
      <c r="I106" s="373"/>
      <c r="J106" s="373"/>
      <c r="K106" s="372"/>
      <c r="L106" s="372"/>
      <c r="M106" s="405" t="s">
        <v>393</v>
      </c>
      <c r="N106" s="374">
        <f>SUM(N102:N105)</f>
        <v>0</v>
      </c>
    </row>
    <row r="107" spans="1:14" ht="12" thickBot="1">
      <c r="A107" s="375"/>
      <c r="B107" s="406"/>
      <c r="C107" s="372"/>
      <c r="D107" s="372"/>
      <c r="E107" s="372"/>
      <c r="F107" s="372"/>
      <c r="G107" s="372"/>
      <c r="H107" s="372"/>
      <c r="I107" s="373"/>
      <c r="J107" s="373"/>
      <c r="K107" s="372"/>
      <c r="L107" s="372"/>
      <c r="M107" s="405"/>
      <c r="N107" s="374"/>
    </row>
    <row r="108" spans="1:14" ht="12.75" customHeight="1" thickBot="1">
      <c r="A108" s="375"/>
      <c r="B108" s="406"/>
      <c r="C108" s="372"/>
      <c r="D108" s="372"/>
      <c r="E108" s="372"/>
      <c r="F108" s="372"/>
      <c r="G108" s="372"/>
      <c r="H108" s="372"/>
      <c r="I108" s="373"/>
      <c r="J108" s="373"/>
      <c r="K108" s="1030" t="s">
        <v>764</v>
      </c>
      <c r="L108" s="1030"/>
      <c r="M108" s="1031"/>
      <c r="N108" s="374">
        <f>N100+N88+N74</f>
        <v>2065.818024691358</v>
      </c>
    </row>
    <row r="109" spans="1:14" ht="12" thickBot="1">
      <c r="A109" s="387"/>
      <c r="B109" s="372"/>
      <c r="C109" s="372"/>
      <c r="D109" s="372"/>
      <c r="E109" s="372"/>
      <c r="F109" s="372"/>
      <c r="G109" s="372"/>
      <c r="H109" s="372"/>
      <c r="I109" s="373"/>
      <c r="J109" s="1032" t="s">
        <v>765</v>
      </c>
      <c r="K109" s="1032"/>
      <c r="L109" s="1032"/>
      <c r="M109" s="1033"/>
      <c r="N109" s="399">
        <f>N106</f>
        <v>0</v>
      </c>
    </row>
    <row r="110" spans="1:14" ht="12" thickBot="1">
      <c r="A110" s="388"/>
      <c r="B110" s="389"/>
      <c r="C110" s="389"/>
      <c r="D110" s="389"/>
      <c r="E110" s="389"/>
      <c r="F110" s="389"/>
      <c r="G110" s="389"/>
      <c r="H110" s="389"/>
      <c r="I110" s="390"/>
      <c r="J110" s="390"/>
      <c r="K110" s="390"/>
      <c r="L110" s="391"/>
      <c r="M110" s="405" t="s">
        <v>393</v>
      </c>
      <c r="N110" s="392">
        <f>N108-N109</f>
        <v>2065.818024691358</v>
      </c>
    </row>
  </sheetData>
  <mergeCells count="10">
    <mergeCell ref="A3:N3"/>
    <mergeCell ref="K108:M108"/>
    <mergeCell ref="J109:M109"/>
    <mergeCell ref="A11:N11"/>
    <mergeCell ref="A66:N66"/>
    <mergeCell ref="A67:N67"/>
    <mergeCell ref="A18:N18"/>
    <mergeCell ref="A19:N19"/>
    <mergeCell ref="K61:M61"/>
    <mergeCell ref="J62:M6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Status xmlns="09a89d9b-f5e3-41af-8194-30ca063b4f91" xsi:nil="true"/>
    <TaxCatchAll xmlns="a1336a19-a7c6-4af2-8ee5-660634acd64e" xsi:nil="true"/>
    <_ip_UnifiedCompliancePolicyProperties xmlns="http://schemas.microsoft.com/sharepoint/v3" xsi:nil="true"/>
    <lcf76f155ced4ddcb4097134ff3c332f xmlns="09a89d9b-f5e3-41af-8194-30ca063b4f91">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C94D861457F6444A016DEA61333D434" ma:contentTypeVersion="17" ma:contentTypeDescription="Create a new document." ma:contentTypeScope="" ma:versionID="5f21e2d2892a176d4bb6d9bbe2f32d06">
  <xsd:schema xmlns:xsd="http://www.w3.org/2001/XMLSchema" xmlns:xs="http://www.w3.org/2001/XMLSchema" xmlns:p="http://schemas.microsoft.com/office/2006/metadata/properties" xmlns:ns1="http://schemas.microsoft.com/sharepoint/v3" xmlns:ns2="09a89d9b-f5e3-41af-8194-30ca063b4f91" xmlns:ns3="a1336a19-a7c6-4af2-8ee5-660634acd64e" targetNamespace="http://schemas.microsoft.com/office/2006/metadata/properties" ma:root="true" ma:fieldsID="972b9b6e5138175185c4380ddb1295f1" ns1:_="" ns2:_="" ns3:_="">
    <xsd:import namespace="http://schemas.microsoft.com/sharepoint/v3"/>
    <xsd:import namespace="09a89d9b-f5e3-41af-8194-30ca063b4f91"/>
    <xsd:import namespace="a1336a19-a7c6-4af2-8ee5-660634acd64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ServiceObjectDetectorVersions" minOccurs="0"/>
                <xsd:element ref="ns2:MediaLengthInSeconds" minOccurs="0"/>
                <xsd:element ref="ns2:Statu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a89d9b-f5e3-41af-8194-30ca063b4f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tatus" ma:index="22" nillable="true" ma:displayName="Status" ma:format="Dropdown" ma:internalName="Status">
      <xsd:simpleType>
        <xsd:restriction base="dms:Choice">
          <xsd:enumeration value="Draft"/>
          <xsd:enumeration value="Under review"/>
          <xsd:enumeration value="Approved"/>
          <xsd:enumeration value="Need Approval"/>
        </xsd:restriction>
      </xsd:simpleType>
    </xsd:element>
  </xsd:schema>
  <xsd:schema xmlns:xsd="http://www.w3.org/2001/XMLSchema" xmlns:xs="http://www.w3.org/2001/XMLSchema" xmlns:dms="http://schemas.microsoft.com/office/2006/documentManagement/types" xmlns:pc="http://schemas.microsoft.com/office/infopath/2007/PartnerControls" targetNamespace="a1336a19-a7c6-4af2-8ee5-660634acd64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ee33117-2320-4c63-9469-c6e903eabc79}" ma:internalName="TaxCatchAll" ma:showField="CatchAllData" ma:web="a1336a19-a7c6-4af2-8ee5-660634acd64e">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183BD13-E519-4258-A5AC-072356F7396B}"/>
</file>

<file path=customXml/itemProps2.xml><?xml version="1.0" encoding="utf-8"?>
<ds:datastoreItem xmlns:ds="http://schemas.openxmlformats.org/officeDocument/2006/customXml" ds:itemID="{FD163D57-9D19-44B0-976D-B9929AECB6CC}"/>
</file>

<file path=customXml/itemProps3.xml><?xml version="1.0" encoding="utf-8"?>
<ds:datastoreItem xmlns:ds="http://schemas.openxmlformats.org/officeDocument/2006/customXml" ds:itemID="{22B9C31D-8F93-4F9C-8023-ABCE7857B3A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
  <cp:revision/>
  <dcterms:created xsi:type="dcterms:W3CDTF">1996-10-14T23:33:28Z</dcterms:created>
  <dcterms:modified xsi:type="dcterms:W3CDTF">2025-07-07T03:41:35Z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0x0101003C94D861457F6444A016DEA61333D434</vt:lpwstr>
  </property>
  <property fmtid="{D5CDD505-2E9C-101B-9397-08002B2CF9AE}" pid="3" name="MediaServiceImageTags">
    <vt:lpwstr/>
  </property>
</Properties>
</file>