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https://igmhmv.sharepoint.com/sites/Estate/Shared Documents/Estate/Projects 2026/VMH 2025/VMH 2026/"/>
    </mc:Choice>
  </mc:AlternateContent>
  <xr:revisionPtr revIDLastSave="123" documentId="11_7409C686FFE6D849B2D197768AF62487B6D69B7C" xr6:coauthVersionLast="47" xr6:coauthVersionMax="47" xr10:uidLastSave="{A4349FDE-7DF5-4995-A980-8948FA4E8B32}"/>
  <bookViews>
    <workbookView xWindow="0" yWindow="0" windowWidth="28800" windowHeight="11580" firstSheet="2" activeTab="2" xr2:uid="{00000000-000D-0000-FFFF-FFFF00000000}"/>
  </bookViews>
  <sheets>
    <sheet name="COVER" sheetId="13" r:id="rId1"/>
    <sheet name="SUMMARY" sheetId="11" r:id="rId2"/>
    <sheet name="BOQ" sheetId="12" r:id="rId3"/>
    <sheet name="Sheet1" sheetId="7" state="hidden" r:id="rId4"/>
  </sheets>
  <definedNames>
    <definedName name="_xlnm.Print_Area" localSheetId="2">BOQ!$A$1:$F$49</definedName>
    <definedName name="_xlnm.Print_Area" localSheetId="1">SUMMARY!$A$1:$C$38</definedName>
    <definedName name="_xlnm.Print_Titles" localSheetId="2">BOQ!$3:$3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12" l="1"/>
  <c r="F67" i="12" s="1"/>
  <c r="C7" i="11" s="1"/>
  <c r="F39" i="12"/>
  <c r="B7" i="11"/>
  <c r="C44" i="12"/>
  <c r="F44" i="12" s="1"/>
  <c r="A1" i="11"/>
  <c r="B4" i="13"/>
  <c r="C5" i="11"/>
  <c r="B6" i="11"/>
  <c r="B5" i="11"/>
  <c r="F48" i="12" l="1"/>
  <c r="C6" i="11" s="1"/>
  <c r="C16" i="11"/>
  <c r="C17" i="11" s="1"/>
  <c r="C18" i="11" s="1"/>
  <c r="E109" i="7" l="1"/>
  <c r="C109" i="7" s="1"/>
  <c r="C114" i="7" s="1"/>
  <c r="J98" i="7"/>
  <c r="I106" i="7"/>
  <c r="I105" i="7"/>
  <c r="I104" i="7"/>
  <c r="I103" i="7"/>
  <c r="I107" i="7" s="1"/>
  <c r="I94" i="7"/>
  <c r="I93" i="7"/>
  <c r="I92" i="7"/>
  <c r="I91" i="7"/>
  <c r="E84" i="7"/>
  <c r="E82" i="7"/>
  <c r="E80" i="7"/>
  <c r="E78" i="7"/>
  <c r="E77" i="7"/>
  <c r="E75" i="7"/>
  <c r="E74" i="7"/>
  <c r="E73" i="7"/>
  <c r="O87" i="7"/>
  <c r="O86" i="7"/>
  <c r="O85" i="7"/>
  <c r="O84" i="7"/>
  <c r="O83" i="7"/>
  <c r="O82" i="7"/>
  <c r="O81" i="7"/>
  <c r="O80" i="7"/>
  <c r="O79" i="7"/>
  <c r="O78" i="7"/>
  <c r="O77" i="7"/>
  <c r="O76" i="7"/>
  <c r="O75" i="7"/>
  <c r="O74" i="7"/>
  <c r="O73" i="7"/>
  <c r="M72" i="7"/>
  <c r="O72" i="7" s="1"/>
  <c r="I83" i="7"/>
  <c r="I82" i="7"/>
  <c r="I81" i="7"/>
  <c r="I80" i="7"/>
  <c r="I79" i="7"/>
  <c r="I78" i="7"/>
  <c r="I77" i="7"/>
  <c r="I76" i="7"/>
  <c r="I75" i="7"/>
  <c r="B75" i="7"/>
  <c r="I74" i="7"/>
  <c r="I73" i="7"/>
  <c r="B80" i="7"/>
  <c r="B77" i="7"/>
  <c r="B76" i="7"/>
  <c r="E56" i="7"/>
  <c r="E69" i="7"/>
  <c r="E68" i="7"/>
  <c r="B67" i="7"/>
  <c r="E67" i="7"/>
  <c r="E66" i="7"/>
  <c r="E65" i="7"/>
  <c r="B64" i="7"/>
  <c r="E64" i="7" s="1"/>
  <c r="B63" i="7"/>
  <c r="E63" i="7" s="1"/>
  <c r="E62" i="7"/>
  <c r="E61" i="7"/>
  <c r="E49" i="7"/>
  <c r="E55" i="7"/>
  <c r="I56" i="7"/>
  <c r="I55" i="7"/>
  <c r="E54" i="7"/>
  <c r="E53" i="7"/>
  <c r="E51" i="7"/>
  <c r="E52" i="7"/>
  <c r="E50" i="7"/>
  <c r="E57" i="7"/>
  <c r="E45" i="7"/>
  <c r="E44" i="7"/>
  <c r="E43" i="7"/>
  <c r="E46" i="7" s="1"/>
  <c r="L34" i="7"/>
  <c r="K34" i="7"/>
  <c r="J37" i="7"/>
  <c r="K37" i="7" s="1"/>
  <c r="J36" i="7"/>
  <c r="K36" i="7"/>
  <c r="J35" i="7"/>
  <c r="K35" i="7"/>
  <c r="J33" i="7"/>
  <c r="K33" i="7" s="1"/>
  <c r="K38" i="7" s="1"/>
  <c r="L38" i="7" s="1"/>
  <c r="E36" i="7" s="1"/>
  <c r="E33" i="7"/>
  <c r="E35" i="7"/>
  <c r="E34" i="7"/>
  <c r="E27" i="7"/>
  <c r="E28" i="7"/>
  <c r="E26" i="7"/>
  <c r="E25" i="7"/>
  <c r="E29" i="7" s="1"/>
  <c r="E20" i="7"/>
  <c r="E19" i="7"/>
  <c r="E18" i="7"/>
  <c r="E21" i="7" s="1"/>
  <c r="E13" i="7"/>
  <c r="E9" i="7"/>
  <c r="E14" i="7" s="1"/>
  <c r="E4" i="7"/>
  <c r="I57" i="7"/>
  <c r="G14" i="7" l="1"/>
  <c r="G21" i="7" s="1"/>
  <c r="E39" i="7"/>
  <c r="I95" i="7"/>
  <c r="C98" i="7" s="1"/>
  <c r="C115" i="7"/>
  <c r="E76" i="7"/>
  <c r="E83" i="7"/>
  <c r="E81" i="7"/>
  <c r="E79" i="7"/>
</calcChain>
</file>

<file path=xl/sharedStrings.xml><?xml version="1.0" encoding="utf-8"?>
<sst xmlns="http://schemas.openxmlformats.org/spreadsheetml/2006/main" count="216" uniqueCount="146">
  <si>
    <t>BILLS OF QUANTITIES</t>
  </si>
  <si>
    <t>SUMMARY</t>
  </si>
  <si>
    <t>Item</t>
  </si>
  <si>
    <t>Description</t>
  </si>
  <si>
    <t>Amount</t>
  </si>
  <si>
    <t xml:space="preserve">TOTAL </t>
  </si>
  <si>
    <t>GST 8%</t>
  </si>
  <si>
    <t xml:space="preserve">GRAND TOTAL </t>
  </si>
  <si>
    <t>Masonry finishes &amp; Exterior Painting Works – Amaan Hiyaa, VMH</t>
  </si>
  <si>
    <t>BILL OF QUANTITIES</t>
  </si>
  <si>
    <t>Qty</t>
  </si>
  <si>
    <t>Unit</t>
  </si>
  <si>
    <t>Rate</t>
  </si>
  <si>
    <t>BILL N0: 01</t>
  </si>
  <si>
    <t>PRELIMINARIES</t>
  </si>
  <si>
    <t>Abbreviations</t>
  </si>
  <si>
    <t>m - meter</t>
  </si>
  <si>
    <t>Nos - numbers</t>
  </si>
  <si>
    <t>m³ - cubic meter</t>
  </si>
  <si>
    <t>m² - square meter</t>
  </si>
  <si>
    <t>Lm - Linear meter</t>
  </si>
  <si>
    <t>t - tonnes</t>
  </si>
  <si>
    <t>incl - including</t>
  </si>
  <si>
    <t>mm - millimeter</t>
  </si>
  <si>
    <t>dia - diameter</t>
  </si>
  <si>
    <t>SS - Stainless Steel</t>
  </si>
  <si>
    <t>GI - Galvanized Iron</t>
  </si>
  <si>
    <t>Site management cost</t>
  </si>
  <si>
    <t>Allow for all on and off site management costs including costs of foreman and assistants, temporary netting, scaffolding and other.</t>
  </si>
  <si>
    <t xml:space="preserve">Cleaning the site upon completion </t>
  </si>
  <si>
    <t>Cleaning the site upon completion of all works</t>
  </si>
  <si>
    <t>BILL N0: 01 -PRELIMINARIES</t>
  </si>
  <si>
    <t>TOTAL OF BILL No: 01 - Carried over to summary</t>
  </si>
  <si>
    <t>BILL N0: 02</t>
  </si>
  <si>
    <t>GENERAL REPAIR  &amp; MASONRY FINISHINGS</t>
  </si>
  <si>
    <t>GENERAL</t>
  </si>
  <si>
    <t xml:space="preserve">GENERAL REPAIR </t>
  </si>
  <si>
    <t>(a) Rates shall include removal of plastering over the entire length of crack line, preparing crackes for application of water proofing chemical as per manufacturer's instruction.</t>
  </si>
  <si>
    <t>(b) Rates shall include removal of all loose and damaged plaster/concrete from the chipped areas, cleaning and preparation of the substrate, application of suitable repair mortar (Sika MonoTop-50 R or approved equivalent) in accordance with the manufacturer’s instructions, and making good the repaired surfaces to match the existing wall and border finish.</t>
  </si>
  <si>
    <t>(c) Rates shall include the removal of all unused AC brackets and bolts, unused pipes and pipe brackets, and repair of all resulting holes and damaged areas with approved materials prior to paint application.</t>
  </si>
  <si>
    <t>(d) Rates shall include removing existing aluminum grills.</t>
  </si>
  <si>
    <t>2.1.1</t>
  </si>
  <si>
    <t xml:space="preserve">Repair chipped surfaces / areas of external wall and border. </t>
  </si>
  <si>
    <t>item</t>
  </si>
  <si>
    <t>MASONRY FINISHINGS</t>
  </si>
  <si>
    <t>(a) Supply and lay 18mm thick internal wall plaster and 25mm thick 2 coat (13mm+12mm) of external wall plaster with 1:4 cement mortar. The rate shall include all the reveals and edges.</t>
  </si>
  <si>
    <t>(b) External plaster to areas of removed aluminium grilles, including surface preparation and finishing.</t>
  </si>
  <si>
    <t>(c) Rates shall include scaffolding, access platforms, safety arrangements, and surface preparation.</t>
  </si>
  <si>
    <t>2.2.1</t>
  </si>
  <si>
    <t>25mm thick External plaster.</t>
  </si>
  <si>
    <t>m2</t>
  </si>
  <si>
    <t>BILL N0: 02 - GENERAL REPAIR  &amp; MASONRY FINISHINGS</t>
  </si>
  <si>
    <t>TOTAL OF BILL No: 02 - Carried over to summary</t>
  </si>
  <si>
    <t>BILL N0: 03</t>
  </si>
  <si>
    <t>EXTERIOR WALL PAINT</t>
  </si>
  <si>
    <t>(a) Rates shall include for: the provision, erection and removal of scaffolding, preparation, rubbing down between coats and similar work, the protection and/or masking floors, fittings and similar work, removing and replacing door window furniture.</t>
  </si>
  <si>
    <t>(b) Rates shall include removal of plastering over the entire length of crack line, preparing crackes for application of water proofing chemical as per manufacturer's instruction.</t>
  </si>
  <si>
    <t>(c) Remove as much loose and peeling paint by scraping and wirebrush.</t>
  </si>
  <si>
    <t>(d) Ensure the surface is sound, clean, dry and free from dirt, grease and any other contamination before application of any chemical or filling material.</t>
  </si>
  <si>
    <t>(e) All painting work shall be carried in accordance with the Specifications of "SAMHWA PAINT or Equivalent".</t>
  </si>
  <si>
    <t>(f) Rate shall include for wall primer and texture on all repaired cracks of building exterior walls.</t>
  </si>
  <si>
    <t>PAINTING</t>
  </si>
  <si>
    <t>External painting.</t>
  </si>
  <si>
    <t>(a) Application of 2 coat of wall sealer on repaired surface, and applied 2 coats of Oil based Paint. Rates shall include texture, Paint, and completion of all necessary works</t>
  </si>
  <si>
    <t>(b) Rates shall include the application of exterior-grade wall putty to prepared external surfaces.</t>
  </si>
  <si>
    <t>3.1.1</t>
  </si>
  <si>
    <t>External paint on all floors</t>
  </si>
  <si>
    <r>
      <t>m</t>
    </r>
    <r>
      <rPr>
        <vertAlign val="superscript"/>
        <sz val="11"/>
        <rFont val="Times New Roman"/>
        <family val="1"/>
      </rPr>
      <t>2</t>
    </r>
  </si>
  <si>
    <t>BILL N0: 03 - EXTERIOR WALL PAINT</t>
  </si>
  <si>
    <t>TOTAL OF BILL No: 03 - Carried over to summary</t>
  </si>
  <si>
    <t>EXCAVATION</t>
  </si>
  <si>
    <t>footing</t>
  </si>
  <si>
    <t>21 nos</t>
  </si>
  <si>
    <t>l</t>
  </si>
  <si>
    <t>b</t>
  </si>
  <si>
    <t>depth</t>
  </si>
  <si>
    <t>TB1</t>
  </si>
  <si>
    <t>300 x 200</t>
  </si>
  <si>
    <t>200 x 200</t>
  </si>
  <si>
    <t>BACKFILL</t>
  </si>
  <si>
    <t>- footing</t>
  </si>
  <si>
    <t>- TB1</t>
  </si>
  <si>
    <t>- TB2</t>
  </si>
  <si>
    <t>POLYTHENE</t>
  </si>
  <si>
    <t>d</t>
  </si>
  <si>
    <t>- slab</t>
  </si>
  <si>
    <t>BRUSH BOND</t>
  </si>
  <si>
    <t>- masonry wall</t>
  </si>
  <si>
    <t>LEANE CONCRETE</t>
  </si>
  <si>
    <t>CONCRETE</t>
  </si>
  <si>
    <t>F1, 21 nos</t>
  </si>
  <si>
    <t>Slab, 23.83 x 4.85</t>
  </si>
  <si>
    <t>TB1, 200 x 300</t>
  </si>
  <si>
    <t>TB2, 200 x 200</t>
  </si>
  <si>
    <t>C1, 200x 200 , 26 nos</t>
  </si>
  <si>
    <t>C2, 150 x 150, 10 nos</t>
  </si>
  <si>
    <t>B1</t>
  </si>
  <si>
    <t>B1, 250 x 350</t>
  </si>
  <si>
    <t>LB, 150 x 150</t>
  </si>
  <si>
    <t>Roof Slab</t>
  </si>
  <si>
    <t>FORMWORK</t>
  </si>
  <si>
    <t>Ground Slab, 23.83 x 4.85</t>
  </si>
  <si>
    <t>STANDARD WEIGHT OF STEEL BARS</t>
  </si>
  <si>
    <t>Diameter of bar (mm)</t>
  </si>
  <si>
    <t>kg per m</t>
  </si>
  <si>
    <t>t per m</t>
  </si>
  <si>
    <t>REINFORCEMENT</t>
  </si>
  <si>
    <t>tonne</t>
  </si>
  <si>
    <t>m</t>
  </si>
  <si>
    <t>10mm dia. bars in footings</t>
  </si>
  <si>
    <t>F1</t>
  </si>
  <si>
    <t>16mm dia. bars in tie beams</t>
  </si>
  <si>
    <t>12mm dia. bars in tie beams</t>
  </si>
  <si>
    <t>TB2</t>
  </si>
  <si>
    <t>6mm dia. bars in tie beams</t>
  </si>
  <si>
    <t>TB1 &amp; TB2</t>
  </si>
  <si>
    <t>10mm dia. bars in groung slab</t>
  </si>
  <si>
    <t>slab</t>
  </si>
  <si>
    <t>12mm dia. bars in columns</t>
  </si>
  <si>
    <t>c1 &amp; c2</t>
  </si>
  <si>
    <t>6mm dia. bars in columns</t>
  </si>
  <si>
    <t>16mm dia. bars in roof beams</t>
  </si>
  <si>
    <t>6mm dia. bars in roof beams</t>
  </si>
  <si>
    <t>10mm dia. bars in lintel beams</t>
  </si>
  <si>
    <t>LB</t>
  </si>
  <si>
    <t>6mm dia. bars in lintel beams</t>
  </si>
  <si>
    <t>lb</t>
  </si>
  <si>
    <t>10mm dia. bars in roof slab</t>
  </si>
  <si>
    <t>MASSONRY AND PLASTERING</t>
  </si>
  <si>
    <t>DOORS</t>
  </si>
  <si>
    <t>Waste Factor</t>
  </si>
  <si>
    <t>0.05 kg / m</t>
  </si>
  <si>
    <t>1.05 t / m</t>
  </si>
  <si>
    <t>NOS</t>
  </si>
  <si>
    <t>Length</t>
  </si>
  <si>
    <t>Height</t>
  </si>
  <si>
    <t>Area</t>
  </si>
  <si>
    <t>G1</t>
  </si>
  <si>
    <t>D1</t>
  </si>
  <si>
    <t>D2</t>
  </si>
  <si>
    <t>FG2</t>
  </si>
  <si>
    <t>External walls</t>
  </si>
  <si>
    <t>Total</t>
  </si>
  <si>
    <t>Internal walls</t>
  </si>
  <si>
    <t>Toilet walls (1.725x1.250) 10nos</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</si>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</sst>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_(* #,##0.0_);_(* \(#,##0.0\);_(* &quot;&quot;??_)"/>
    <numFmt numFmtId="166" formatCode="_(* #,##0_);_(* \(#,##0\);_(* &quot;-&quot;??_);_(@_)"/>
    <numFmt numFmtId="167" formatCode="_(* #,##0_);_(* \(#,##0\);_(* &quot;&quot;??_);_(@_)"/>
    <numFmt numFmtId="168" formatCode="0.000000"/>
    <numFmt numFmtId="169" formatCode="0.000"/>
    <numFmt numFmtId="170" formatCode="_(* #,##0.00_);_(* \(#,##0.00\);_(* &quot;&quot;??_);_(@_)"/>
    <numFmt numFmtId="171" formatCode="\(0\)"/>
  </numFmts>
  <fonts count="27">
    <font>
      <sz val="11"/>
      <color theme="1"/>
      <name val="Calibri"/>
      <family val="2"/>
      <scheme val="minor"/>
    </font>
    <font>
      <sz val="10"/>
      <name val="Arial"/>
      <family val="2"/>
    </font>
    <font>
      <sz val="10"/>
      <name val="Arial"/>
      <family val="2"/>
    </font>
    <font>
      <sz val="10"/>
      <name val="Lucida Sans"/>
      <family val="2"/>
    </font>
    <font>
      <sz val="11"/>
      <color theme="1"/>
      <name val="Calibri"/>
      <family val="2"/>
      <scheme val="minor"/>
    </font>
    <font>
      <i/>
      <sz val="11"/>
      <color theme="1"/>
      <name val="Calibri"/>
      <family val="2"/>
      <scheme val="minor"/>
    </font>
    <font>
      <b/>
      <sz val="10"/>
      <name val="Arial"/>
      <family val="2"/>
    </font>
    <font>
      <i/>
      <sz val="10"/>
      <color theme="1"/>
      <name val="Lucida Sans"/>
      <family val="2"/>
    </font>
    <font>
      <i/>
      <sz val="8"/>
      <color theme="1"/>
      <name val="Lucida Sans"/>
      <family val="2"/>
    </font>
    <font>
      <b/>
      <i/>
      <u/>
      <sz val="10"/>
      <color theme="1"/>
      <name val="Lucida Sans"/>
      <family val="2"/>
    </font>
    <font>
      <b/>
      <u/>
      <sz val="12"/>
      <name val="Times New Roman"/>
      <family val="1"/>
    </font>
    <font>
      <b/>
      <sz val="11"/>
      <name val="Times New Roman"/>
      <family val="1"/>
    </font>
    <font>
      <sz val="11"/>
      <name val="Times New Roman"/>
      <family val="1"/>
    </font>
    <font>
      <b/>
      <u/>
      <sz val="11"/>
      <name val="Times New Roman"/>
      <family val="1"/>
    </font>
    <font>
      <sz val="11"/>
      <color rgb="FFFF0000"/>
      <name val="Times New Roman"/>
      <family val="1"/>
    </font>
    <font>
      <vertAlign val="superscript"/>
      <sz val="11"/>
      <name val="Times New Roman"/>
      <family val="1"/>
    </font>
    <font>
      <sz val="10"/>
      <name val="Times New Roman"/>
      <family val="1"/>
    </font>
    <font>
      <sz val="12"/>
      <name val="Times New Roman"/>
      <family val="1"/>
    </font>
    <font>
      <b/>
      <u/>
      <sz val="16"/>
      <name val="Times New Roman"/>
      <family val="1"/>
    </font>
    <font>
      <b/>
      <sz val="12"/>
      <color theme="1"/>
      <name val="Times New Roman"/>
      <family val="1"/>
    </font>
    <font>
      <sz val="12"/>
      <color theme="1"/>
      <name val="Times New Roman"/>
      <family val="1"/>
    </font>
    <font>
      <sz val="11"/>
      <color indexed="8"/>
      <name val="Times New Roman"/>
      <family val="1"/>
    </font>
    <font>
      <sz val="11"/>
      <color indexed="9"/>
      <name val="Times New Roman"/>
      <family val="1"/>
    </font>
    <font>
      <b/>
      <u/>
      <sz val="20"/>
      <name val="Times New Roman"/>
      <family val="1"/>
    </font>
    <font>
      <b/>
      <sz val="12"/>
      <color rgb="FF000000"/>
      <name val="Times New Roman"/>
    </font>
    <font>
      <u/>
      <sz val="16"/>
      <name val="Times New Roman"/>
      <family val="1"/>
    </font>
    <font>
      <b/>
      <sz val="12"/>
      <name val="Times New Roman"/>
      <family val="1"/>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FF99"/>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style="thin">
        <color theme="7" tint="0.39997558519241921"/>
      </top>
      <bottom style="medium">
        <color theme="7" tint="0.39997558519241921"/>
      </bottom>
      <diagonal/>
    </border>
    <border>
      <left style="thin">
        <color theme="7" tint="0.39997558519241921"/>
      </left>
      <right style="thin">
        <color theme="7" tint="0.39997558519241921"/>
      </right>
      <top/>
      <bottom style="thin">
        <color theme="7" tint="0.39997558519241921"/>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2" fillId="0" borderId="0"/>
    <xf numFmtId="0" fontId="2" fillId="0" borderId="0"/>
    <xf numFmtId="0" fontId="2" fillId="0" borderId="0"/>
    <xf numFmtId="43" fontId="4" fillId="0" borderId="0" applyFont="0" applyFill="0" applyBorder="0" applyAlignment="0" applyProtection="0"/>
  </cellStyleXfs>
  <cellXfs count="163">
    <xf numFmtId="0" fontId="0" fillId="0" borderId="0" xfId="0"/>
    <xf numFmtId="0" fontId="0" fillId="4" borderId="0" xfId="0" applyFill="1"/>
    <xf numFmtId="43" fontId="0" fillId="0" borderId="0" xfId="5" applyFont="1"/>
    <xf numFmtId="0" fontId="5" fillId="0" borderId="0" xfId="0" applyFont="1"/>
    <xf numFmtId="43" fontId="0" fillId="4" borderId="0" xfId="5" applyFont="1" applyFill="1"/>
    <xf numFmtId="0" fontId="5" fillId="0" borderId="0" xfId="0" quotePrefix="1" applyFont="1"/>
    <xf numFmtId="43" fontId="0" fillId="4" borderId="0" xfId="0" applyNumberFormat="1" applyFill="1"/>
    <xf numFmtId="43" fontId="0" fillId="0" borderId="0" xfId="5" applyFont="1" applyFill="1"/>
    <xf numFmtId="0" fontId="5" fillId="5" borderId="0" xfId="0" applyFont="1" applyFill="1"/>
    <xf numFmtId="43" fontId="0" fillId="6" borderId="0" xfId="5" applyFont="1" applyFill="1"/>
    <xf numFmtId="0" fontId="3" fillId="0" borderId="0" xfId="0" applyFont="1" applyAlignment="1">
      <alignment vertical="top"/>
    </xf>
    <xf numFmtId="0" fontId="6" fillId="0" borderId="0" xfId="4" applyFont="1" applyAlignment="1">
      <alignment vertical="center"/>
    </xf>
    <xf numFmtId="1" fontId="7" fillId="0" borderId="0" xfId="0" applyNumberFormat="1" applyFont="1" applyAlignment="1">
      <alignment horizontal="center" vertical="center"/>
    </xf>
    <xf numFmtId="0" fontId="2" fillId="0" borderId="0" xfId="4" applyAlignment="1">
      <alignment vertical="center"/>
    </xf>
    <xf numFmtId="0" fontId="2" fillId="0" borderId="3" xfId="4" applyBorder="1" applyAlignment="1">
      <alignment horizontal="center" vertical="center"/>
    </xf>
    <xf numFmtId="2" fontId="2" fillId="0" borderId="3" xfId="4" applyNumberFormat="1" applyBorder="1" applyAlignment="1">
      <alignment horizontal="center" vertical="center"/>
    </xf>
    <xf numFmtId="0" fontId="7" fillId="0" borderId="0" xfId="0" applyFont="1" applyAlignment="1">
      <alignment horizontal="center" vertical="center"/>
    </xf>
    <xf numFmtId="0" fontId="2" fillId="7" borderId="4" xfId="4" applyFill="1" applyBorder="1" applyAlignment="1">
      <alignment horizontal="center" vertical="center"/>
    </xf>
    <xf numFmtId="168" fontId="2" fillId="7" borderId="4" xfId="4" applyNumberFormat="1" applyFill="1" applyBorder="1" applyAlignment="1">
      <alignment horizontal="center" vertical="center"/>
    </xf>
    <xf numFmtId="169" fontId="7" fillId="0" borderId="0" xfId="0" applyNumberFormat="1" applyFont="1" applyAlignment="1">
      <alignment horizontal="center" vertical="center"/>
    </xf>
    <xf numFmtId="0" fontId="2" fillId="0" borderId="2" xfId="4" applyBorder="1" applyAlignment="1">
      <alignment horizontal="center" vertical="center"/>
    </xf>
    <xf numFmtId="168" fontId="2" fillId="0" borderId="2" xfId="4" applyNumberFormat="1" applyBorder="1" applyAlignment="1">
      <alignment horizontal="center" vertical="center"/>
    </xf>
    <xf numFmtId="0" fontId="2" fillId="8" borderId="2" xfId="4" applyFill="1" applyBorder="1" applyAlignment="1">
      <alignment horizontal="center" vertical="center"/>
    </xf>
    <xf numFmtId="168" fontId="2" fillId="8" borderId="2" xfId="4" applyNumberFormat="1" applyFill="1" applyBorder="1" applyAlignment="1">
      <alignment horizontal="center" vertical="center"/>
    </xf>
    <xf numFmtId="0" fontId="2" fillId="9" borderId="2" xfId="4" applyFill="1" applyBorder="1" applyAlignment="1">
      <alignment horizontal="center" vertical="center"/>
    </xf>
    <xf numFmtId="168" fontId="2" fillId="9" borderId="2" xfId="4" applyNumberFormat="1" applyFill="1" applyBorder="1" applyAlignment="1">
      <alignment horizontal="center" vertical="center"/>
    </xf>
    <xf numFmtId="0" fontId="2" fillId="10" borderId="2" xfId="4" applyFill="1" applyBorder="1" applyAlignment="1">
      <alignment horizontal="center" vertical="center"/>
    </xf>
    <xf numFmtId="168" fontId="2" fillId="10" borderId="2" xfId="4" applyNumberFormat="1" applyFill="1" applyBorder="1" applyAlignment="1">
      <alignment horizontal="center" vertical="center"/>
    </xf>
    <xf numFmtId="0" fontId="2" fillId="11" borderId="2" xfId="4" applyFill="1" applyBorder="1" applyAlignment="1">
      <alignment horizontal="center" vertical="center"/>
    </xf>
    <xf numFmtId="168" fontId="2" fillId="11" borderId="2" xfId="4" applyNumberFormat="1" applyFill="1" applyBorder="1" applyAlignment="1">
      <alignment horizontal="center" vertical="center"/>
    </xf>
    <xf numFmtId="0" fontId="7" fillId="0" borderId="0" xfId="0" applyFont="1" applyAlignment="1">
      <alignment vertical="center"/>
    </xf>
    <xf numFmtId="1" fontId="7" fillId="0" borderId="0" xfId="0" applyNumberFormat="1" applyFont="1" applyAlignment="1">
      <alignment vertical="center"/>
    </xf>
    <xf numFmtId="0" fontId="2" fillId="0" borderId="2" xfId="4" applyBorder="1" applyAlignment="1">
      <alignment vertical="center"/>
    </xf>
    <xf numFmtId="168" fontId="2" fillId="0" borderId="2" xfId="4" applyNumberFormat="1" applyBorder="1" applyAlignment="1">
      <alignment vertical="center"/>
    </xf>
    <xf numFmtId="2" fontId="2" fillId="0" borderId="2" xfId="4" applyNumberFormat="1" applyBorder="1" applyAlignment="1">
      <alignment horizontal="center" vertical="center"/>
    </xf>
    <xf numFmtId="2" fontId="2" fillId="0" borderId="0" xfId="4" applyNumberFormat="1" applyAlignment="1">
      <alignment vertical="center"/>
    </xf>
    <xf numFmtId="0" fontId="6" fillId="0" borderId="5" xfId="4" applyFont="1" applyBorder="1" applyAlignment="1">
      <alignment vertical="center"/>
    </xf>
    <xf numFmtId="0" fontId="6" fillId="0" borderId="6" xfId="4" applyFont="1" applyBorder="1" applyAlignment="1">
      <alignment vertical="center"/>
    </xf>
    <xf numFmtId="0" fontId="6" fillId="0" borderId="7" xfId="4" applyFont="1" applyBorder="1" applyAlignment="1">
      <alignment vertical="center"/>
    </xf>
    <xf numFmtId="43" fontId="0" fillId="6" borderId="0" xfId="5" applyFont="1" applyFill="1" applyProtection="1">
      <protection locked="0"/>
    </xf>
    <xf numFmtId="0" fontId="0" fillId="0" borderId="0" xfId="0" applyAlignment="1">
      <alignment horizontal="right"/>
    </xf>
    <xf numFmtId="2" fontId="7" fillId="0" borderId="0" xfId="0" applyNumberFormat="1" applyFont="1" applyAlignment="1">
      <alignment horizontal="center"/>
    </xf>
    <xf numFmtId="2" fontId="8" fillId="0" borderId="0" xfId="0" applyNumberFormat="1" applyFont="1" applyAlignment="1">
      <alignment horizontal="center"/>
    </xf>
    <xf numFmtId="1" fontId="8" fillId="0" borderId="0" xfId="0" applyNumberFormat="1" applyFont="1" applyAlignment="1">
      <alignment horizontal="center"/>
    </xf>
    <xf numFmtId="2" fontId="9" fillId="0" borderId="0" xfId="0" applyNumberFormat="1" applyFont="1" applyAlignment="1">
      <alignment horizontal="left"/>
    </xf>
    <xf numFmtId="2" fontId="7" fillId="12" borderId="0" xfId="0" applyNumberFormat="1" applyFont="1" applyFill="1" applyAlignment="1">
      <alignment horizontal="center"/>
    </xf>
    <xf numFmtId="2" fontId="7" fillId="0" borderId="0" xfId="0" applyNumberFormat="1" applyFont="1" applyAlignment="1">
      <alignment horizontal="left"/>
    </xf>
    <xf numFmtId="2" fontId="8" fillId="0" borderId="2" xfId="0" applyNumberFormat="1" applyFont="1" applyBorder="1" applyAlignment="1">
      <alignment horizontal="center"/>
    </xf>
    <xf numFmtId="1" fontId="8" fillId="0" borderId="2" xfId="0" applyNumberFormat="1" applyFont="1" applyBorder="1" applyAlignment="1">
      <alignment horizontal="center"/>
    </xf>
    <xf numFmtId="2" fontId="8" fillId="3" borderId="2" xfId="0" applyNumberFormat="1" applyFont="1" applyFill="1" applyBorder="1" applyAlignment="1">
      <alignment horizontal="center"/>
    </xf>
    <xf numFmtId="2" fontId="0" fillId="0" borderId="0" xfId="0" applyNumberFormat="1"/>
    <xf numFmtId="2" fontId="0" fillId="5" borderId="0" xfId="0" applyNumberFormat="1" applyFill="1"/>
    <xf numFmtId="4" fontId="8" fillId="0" borderId="0" xfId="0" applyNumberFormat="1" applyFont="1" applyAlignment="1">
      <alignment horizontal="center"/>
    </xf>
    <xf numFmtId="164" fontId="11" fillId="2" borderId="20" xfId="5" applyNumberFormat="1" applyFont="1" applyFill="1" applyBorder="1" applyAlignment="1">
      <alignment horizontal="right" vertical="top"/>
    </xf>
    <xf numFmtId="40" fontId="11" fillId="2" borderId="21" xfId="5" applyNumberFormat="1" applyFont="1" applyFill="1" applyBorder="1" applyAlignment="1">
      <alignment horizontal="left" vertical="top"/>
    </xf>
    <xf numFmtId="2" fontId="11" fillId="2" borderId="21" xfId="5" applyNumberFormat="1" applyFont="1" applyFill="1" applyBorder="1" applyAlignment="1">
      <alignment horizontal="center" vertical="center"/>
    </xf>
    <xf numFmtId="166" fontId="11" fillId="2" borderId="21" xfId="5" applyNumberFormat="1" applyFont="1" applyFill="1" applyBorder="1" applyAlignment="1">
      <alignment horizontal="center" vertical="center"/>
    </xf>
    <xf numFmtId="40" fontId="11" fillId="2" borderId="21" xfId="5" applyNumberFormat="1" applyFont="1" applyFill="1" applyBorder="1" applyAlignment="1">
      <alignment horizontal="right" vertical="center"/>
    </xf>
    <xf numFmtId="40" fontId="11" fillId="2" borderId="22" xfId="5" applyNumberFormat="1" applyFont="1" applyFill="1" applyBorder="1" applyAlignment="1">
      <alignment horizontal="right" vertical="center"/>
    </xf>
    <xf numFmtId="164" fontId="11" fillId="2" borderId="23" xfId="5" applyNumberFormat="1" applyFont="1" applyFill="1" applyBorder="1" applyAlignment="1">
      <alignment horizontal="right" vertical="top"/>
    </xf>
    <xf numFmtId="40" fontId="11" fillId="2" borderId="24" xfId="5" quotePrefix="1" applyNumberFormat="1" applyFont="1" applyFill="1" applyBorder="1" applyAlignment="1">
      <alignment horizontal="left" vertical="top"/>
    </xf>
    <xf numFmtId="2" fontId="11" fillId="2" borderId="24" xfId="5" applyNumberFormat="1" applyFont="1" applyFill="1" applyBorder="1" applyAlignment="1">
      <alignment horizontal="center" vertical="center"/>
    </xf>
    <xf numFmtId="166" fontId="11" fillId="2" borderId="24" xfId="5" applyNumberFormat="1" applyFont="1" applyFill="1" applyBorder="1" applyAlignment="1">
      <alignment horizontal="center" vertical="center"/>
    </xf>
    <xf numFmtId="40" fontId="11" fillId="2" borderId="24" xfId="5" applyNumberFormat="1" applyFont="1" applyFill="1" applyBorder="1" applyAlignment="1">
      <alignment horizontal="right" vertical="center"/>
    </xf>
    <xf numFmtId="40" fontId="11" fillId="2" borderId="25" xfId="5" applyNumberFormat="1" applyFont="1" applyFill="1" applyBorder="1" applyAlignment="1">
      <alignment horizontal="right" vertical="center"/>
    </xf>
    <xf numFmtId="40" fontId="11" fillId="2" borderId="9" xfId="5" quotePrefix="1" applyNumberFormat="1" applyFont="1" applyFill="1" applyBorder="1" applyAlignment="1">
      <alignment horizontal="left" vertical="top"/>
    </xf>
    <xf numFmtId="40" fontId="13" fillId="2" borderId="14" xfId="5" applyNumberFormat="1" applyFont="1" applyFill="1" applyBorder="1" applyAlignment="1">
      <alignment horizontal="center" vertical="top"/>
    </xf>
    <xf numFmtId="40" fontId="13" fillId="2" borderId="14" xfId="5" applyNumberFormat="1" applyFont="1" applyFill="1" applyBorder="1" applyAlignment="1">
      <alignment horizontal="justify" vertical="top"/>
    </xf>
    <xf numFmtId="0" fontId="12" fillId="2" borderId="0" xfId="0" applyFont="1" applyFill="1" applyAlignment="1">
      <alignment vertical="top"/>
    </xf>
    <xf numFmtId="2" fontId="12" fillId="2" borderId="0" xfId="0" applyNumberFormat="1" applyFont="1" applyFill="1" applyAlignment="1">
      <alignment horizontal="center" vertical="top"/>
    </xf>
    <xf numFmtId="0" fontId="12" fillId="2" borderId="0" xfId="0" applyFont="1" applyFill="1" applyAlignment="1">
      <alignment horizontal="center" vertical="top"/>
    </xf>
    <xf numFmtId="0" fontId="12" fillId="2" borderId="0" xfId="0" applyFont="1" applyFill="1" applyAlignment="1">
      <alignment horizontal="right" vertical="top"/>
    </xf>
    <xf numFmtId="43" fontId="12" fillId="2" borderId="0" xfId="5" applyFont="1" applyFill="1" applyBorder="1" applyAlignment="1">
      <alignment horizontal="right" vertical="top"/>
    </xf>
    <xf numFmtId="0" fontId="14" fillId="2" borderId="0" xfId="0" applyFont="1" applyFill="1" applyAlignment="1">
      <alignment vertical="top"/>
    </xf>
    <xf numFmtId="0" fontId="11" fillId="13" borderId="1" xfId="0" applyFont="1" applyFill="1" applyBorder="1" applyAlignment="1">
      <alignment horizontal="center" vertical="top"/>
    </xf>
    <xf numFmtId="2" fontId="11" fillId="13" borderId="1" xfId="0" applyNumberFormat="1" applyFont="1" applyFill="1" applyBorder="1" applyAlignment="1">
      <alignment horizontal="center" vertical="top"/>
    </xf>
    <xf numFmtId="4" fontId="11" fillId="13" borderId="1" xfId="0" applyNumberFormat="1" applyFont="1" applyFill="1" applyBorder="1" applyAlignment="1">
      <alignment horizontal="right" vertical="top"/>
    </xf>
    <xf numFmtId="43" fontId="11" fillId="13" borderId="1" xfId="5" applyFont="1" applyFill="1" applyBorder="1" applyAlignment="1" applyProtection="1">
      <alignment horizontal="right" vertical="top"/>
    </xf>
    <xf numFmtId="4" fontId="12" fillId="2" borderId="0" xfId="0" applyNumberFormat="1" applyFont="1" applyFill="1" applyAlignment="1">
      <alignment vertical="top"/>
    </xf>
    <xf numFmtId="0" fontId="11" fillId="2" borderId="17" xfId="0" applyFont="1" applyFill="1" applyBorder="1" applyAlignment="1">
      <alignment vertical="top"/>
    </xf>
    <xf numFmtId="2" fontId="11" fillId="2" borderId="9" xfId="0" applyNumberFormat="1" applyFont="1" applyFill="1" applyBorder="1" applyAlignment="1">
      <alignment horizontal="center" vertical="center"/>
    </xf>
    <xf numFmtId="0" fontId="11" fillId="2" borderId="9" xfId="0" applyFont="1" applyFill="1" applyBorder="1" applyAlignment="1">
      <alignment horizontal="center" vertical="center"/>
    </xf>
    <xf numFmtId="4" fontId="11" fillId="2" borderId="9" xfId="0" applyNumberFormat="1" applyFont="1" applyFill="1" applyBorder="1" applyAlignment="1">
      <alignment horizontal="right" vertical="center"/>
    </xf>
    <xf numFmtId="4" fontId="11" fillId="2" borderId="18" xfId="0" applyNumberFormat="1" applyFont="1" applyFill="1" applyBorder="1" applyAlignment="1">
      <alignment horizontal="right" vertical="center"/>
    </xf>
    <xf numFmtId="4" fontId="11" fillId="2" borderId="0" xfId="0" applyNumberFormat="1" applyFont="1" applyFill="1" applyAlignment="1">
      <alignment horizontal="centerContinuous" vertical="top"/>
    </xf>
    <xf numFmtId="164" fontId="12" fillId="2" borderId="13" xfId="5" applyNumberFormat="1" applyFont="1" applyFill="1" applyBorder="1" applyAlignment="1">
      <alignment horizontal="right" vertical="top"/>
    </xf>
    <xf numFmtId="2" fontId="12" fillId="2" borderId="14" xfId="5" applyNumberFormat="1" applyFont="1" applyFill="1" applyBorder="1" applyAlignment="1">
      <alignment horizontal="center" vertical="center"/>
    </xf>
    <xf numFmtId="166" fontId="12" fillId="2" borderId="14" xfId="5" applyNumberFormat="1" applyFont="1" applyFill="1" applyBorder="1" applyAlignment="1">
      <alignment horizontal="center" vertical="center"/>
    </xf>
    <xf numFmtId="40" fontId="12" fillId="2" borderId="14" xfId="5" applyNumberFormat="1" applyFont="1" applyFill="1" applyBorder="1" applyAlignment="1">
      <alignment horizontal="right" vertical="center"/>
    </xf>
    <xf numFmtId="40" fontId="12" fillId="2" borderId="15" xfId="5" applyNumberFormat="1" applyFont="1" applyFill="1" applyBorder="1" applyAlignment="1">
      <alignment horizontal="right" vertical="center"/>
    </xf>
    <xf numFmtId="40" fontId="12" fillId="2" borderId="0" xfId="5" applyNumberFormat="1" applyFont="1" applyFill="1" applyAlignment="1">
      <alignment vertical="top"/>
    </xf>
    <xf numFmtId="164" fontId="11" fillId="2" borderId="13" xfId="5" applyNumberFormat="1" applyFont="1" applyFill="1" applyBorder="1" applyAlignment="1">
      <alignment horizontal="right" vertical="top"/>
    </xf>
    <xf numFmtId="40" fontId="12" fillId="2" borderId="0" xfId="5" applyNumberFormat="1" applyFont="1" applyFill="1" applyBorder="1" applyAlignment="1">
      <alignment horizontal="left" vertical="top" wrapText="1"/>
    </xf>
    <xf numFmtId="40" fontId="12" fillId="2" borderId="14" xfId="5" applyNumberFormat="1" applyFont="1" applyFill="1" applyBorder="1" applyAlignment="1">
      <alignment horizontal="left" vertical="top" wrapText="1"/>
    </xf>
    <xf numFmtId="167" fontId="12" fillId="2" borderId="14" xfId="5" applyNumberFormat="1" applyFont="1" applyFill="1" applyBorder="1" applyAlignment="1">
      <alignment horizontal="center" vertical="center"/>
    </xf>
    <xf numFmtId="40" fontId="13" fillId="2" borderId="14" xfId="5" applyNumberFormat="1" applyFont="1" applyFill="1" applyBorder="1" applyAlignment="1">
      <alignment horizontal="center" vertical="top" wrapText="1"/>
    </xf>
    <xf numFmtId="40" fontId="11" fillId="2" borderId="0" xfId="5" applyNumberFormat="1" applyFont="1" applyFill="1" applyAlignment="1">
      <alignment vertical="top"/>
    </xf>
    <xf numFmtId="164" fontId="12" fillId="2" borderId="8" xfId="5" applyNumberFormat="1" applyFont="1" applyFill="1" applyBorder="1" applyAlignment="1">
      <alignment horizontal="right" vertical="top"/>
    </xf>
    <xf numFmtId="2" fontId="12" fillId="2" borderId="10" xfId="5" applyNumberFormat="1" applyFont="1" applyFill="1" applyBorder="1" applyAlignment="1">
      <alignment horizontal="center" vertical="top"/>
    </xf>
    <xf numFmtId="166" fontId="12" fillId="2" borderId="10" xfId="5" applyNumberFormat="1" applyFont="1" applyFill="1" applyBorder="1" applyAlignment="1">
      <alignment horizontal="center" vertical="top"/>
    </xf>
    <xf numFmtId="40" fontId="12" fillId="2" borderId="11" xfId="5" applyNumberFormat="1" applyFont="1" applyFill="1" applyBorder="1" applyAlignment="1">
      <alignment horizontal="right" vertical="top"/>
    </xf>
    <xf numFmtId="43" fontId="12" fillId="2" borderId="12" xfId="5" applyFont="1" applyFill="1" applyBorder="1" applyAlignment="1">
      <alignment horizontal="right" vertical="top"/>
    </xf>
    <xf numFmtId="40" fontId="14" fillId="2" borderId="0" xfId="5" applyNumberFormat="1" applyFont="1" applyFill="1" applyAlignment="1">
      <alignment vertical="top"/>
    </xf>
    <xf numFmtId="2" fontId="12" fillId="2" borderId="14" xfId="5" applyNumberFormat="1" applyFont="1" applyFill="1" applyBorder="1" applyAlignment="1">
      <alignment horizontal="center" vertical="top"/>
    </xf>
    <xf numFmtId="166" fontId="11" fillId="2" borderId="14" xfId="5" applyNumberFormat="1" applyFont="1" applyFill="1" applyBorder="1" applyAlignment="1">
      <alignment horizontal="center" vertical="top"/>
    </xf>
    <xf numFmtId="40" fontId="11" fillId="2" borderId="14" xfId="5" applyNumberFormat="1" applyFont="1" applyFill="1" applyBorder="1" applyAlignment="1">
      <alignment horizontal="right" vertical="top"/>
    </xf>
    <xf numFmtId="40" fontId="11" fillId="2" borderId="15" xfId="5" applyNumberFormat="1" applyFont="1" applyFill="1" applyBorder="1" applyAlignment="1">
      <alignment horizontal="right" vertical="top"/>
    </xf>
    <xf numFmtId="164" fontId="11" fillId="2" borderId="13" xfId="5" quotePrefix="1" applyNumberFormat="1" applyFont="1" applyFill="1" applyBorder="1" applyAlignment="1">
      <alignment horizontal="right" vertical="top"/>
    </xf>
    <xf numFmtId="40" fontId="12" fillId="2" borderId="14" xfId="5" applyNumberFormat="1" applyFont="1" applyFill="1" applyBorder="1" applyAlignment="1">
      <alignment horizontal="justify" vertical="top" wrapText="1"/>
    </xf>
    <xf numFmtId="167" fontId="12" fillId="2" borderId="14" xfId="5" applyNumberFormat="1" applyFont="1" applyFill="1" applyBorder="1" applyAlignment="1">
      <alignment horizontal="center" vertical="top"/>
    </xf>
    <xf numFmtId="170" fontId="12" fillId="2" borderId="14" xfId="5" applyNumberFormat="1" applyFont="1" applyFill="1" applyBorder="1" applyAlignment="1">
      <alignment horizontal="right" vertical="top"/>
    </xf>
    <xf numFmtId="40" fontId="12" fillId="2" borderId="15" xfId="5" applyNumberFormat="1" applyFont="1" applyFill="1" applyBorder="1" applyAlignment="1">
      <alignment horizontal="right" vertical="top"/>
    </xf>
    <xf numFmtId="40" fontId="12" fillId="2" borderId="0" xfId="5" applyNumberFormat="1" applyFont="1" applyFill="1"/>
    <xf numFmtId="40" fontId="14" fillId="2" borderId="0" xfId="5" applyNumberFormat="1" applyFont="1" applyFill="1"/>
    <xf numFmtId="171" fontId="12" fillId="2" borderId="13" xfId="5" applyNumberFormat="1" applyFont="1" applyFill="1" applyBorder="1" applyAlignment="1">
      <alignment horizontal="right" vertical="top"/>
    </xf>
    <xf numFmtId="49" fontId="12" fillId="2" borderId="14" xfId="5" applyNumberFormat="1" applyFont="1" applyFill="1" applyBorder="1" applyAlignment="1">
      <alignment horizontal="center" vertical="top"/>
    </xf>
    <xf numFmtId="40" fontId="13" fillId="2" borderId="14" xfId="5" applyNumberFormat="1" applyFont="1" applyFill="1" applyBorder="1" applyAlignment="1">
      <alignment horizontal="justify" vertical="top" wrapText="1"/>
    </xf>
    <xf numFmtId="0" fontId="16" fillId="2" borderId="0" xfId="0" applyFont="1" applyFill="1"/>
    <xf numFmtId="43" fontId="16" fillId="2" borderId="0" xfId="5" applyFont="1" applyFill="1"/>
    <xf numFmtId="0" fontId="17" fillId="2" borderId="0" xfId="0" applyFont="1" applyFill="1"/>
    <xf numFmtId="0" fontId="19" fillId="2" borderId="1" xfId="0" applyFont="1" applyFill="1" applyBorder="1" applyAlignment="1">
      <alignment horizontal="center"/>
    </xf>
    <xf numFmtId="0" fontId="20" fillId="2" borderId="0" xfId="0" applyFont="1" applyFill="1" applyAlignment="1">
      <alignment horizontal="center"/>
    </xf>
    <xf numFmtId="0" fontId="12" fillId="2" borderId="1" xfId="0" applyFont="1" applyFill="1" applyBorder="1" applyAlignment="1">
      <alignment horizontal="center" vertical="center"/>
    </xf>
    <xf numFmtId="40" fontId="12" fillId="2" borderId="1" xfId="0" applyNumberFormat="1" applyFont="1" applyFill="1" applyBorder="1" applyAlignment="1">
      <alignment horizontal="left" vertical="center"/>
    </xf>
    <xf numFmtId="43" fontId="21" fillId="2" borderId="1" xfId="5" applyFont="1" applyFill="1" applyBorder="1" applyAlignment="1">
      <alignment horizontal="center" vertical="center"/>
    </xf>
    <xf numFmtId="0" fontId="16" fillId="2" borderId="0" xfId="0" applyFont="1" applyFill="1" applyAlignment="1">
      <alignment horizontal="center" vertical="center"/>
    </xf>
    <xf numFmtId="40" fontId="12" fillId="2" borderId="1" xfId="0" applyNumberFormat="1" applyFont="1" applyFill="1" applyBorder="1"/>
    <xf numFmtId="40" fontId="12" fillId="2" borderId="1" xfId="0" applyNumberFormat="1" applyFont="1" applyFill="1" applyBorder="1" applyAlignment="1">
      <alignment horizontal="left"/>
    </xf>
    <xf numFmtId="0" fontId="12" fillId="2" borderId="1" xfId="0" applyFont="1" applyFill="1" applyBorder="1" applyAlignment="1">
      <alignment horizontal="left" vertical="center"/>
    </xf>
    <xf numFmtId="43" fontId="22" fillId="2" borderId="1" xfId="5" applyFont="1" applyFill="1" applyBorder="1" applyAlignment="1">
      <alignment horizontal="center" vertical="center"/>
    </xf>
    <xf numFmtId="0" fontId="12" fillId="2" borderId="1" xfId="0" quotePrefix="1" applyFont="1" applyFill="1" applyBorder="1" applyAlignment="1">
      <alignment horizontal="left" vertical="center"/>
    </xf>
    <xf numFmtId="0" fontId="12" fillId="2" borderId="17" xfId="0" applyFont="1" applyFill="1" applyBorder="1" applyAlignment="1">
      <alignment horizontal="center" vertical="center"/>
    </xf>
    <xf numFmtId="0" fontId="11" fillId="2" borderId="9" xfId="0" applyFont="1" applyFill="1" applyBorder="1" applyAlignment="1">
      <alignment horizontal="left" vertical="center"/>
    </xf>
    <xf numFmtId="43" fontId="12" fillId="2" borderId="1" xfId="5" applyFont="1" applyFill="1" applyBorder="1" applyAlignment="1">
      <alignment horizontal="center" vertical="center"/>
    </xf>
    <xf numFmtId="0" fontId="12" fillId="2" borderId="16" xfId="0" applyFont="1" applyFill="1" applyBorder="1" applyAlignment="1">
      <alignment horizontal="center" vertical="center"/>
    </xf>
    <xf numFmtId="0" fontId="11" fillId="2" borderId="0" xfId="0" applyFont="1" applyFill="1" applyAlignment="1">
      <alignment horizontal="left" vertical="center"/>
    </xf>
    <xf numFmtId="43" fontId="12" fillId="2" borderId="19" xfId="5" applyFont="1" applyFill="1" applyBorder="1" applyAlignment="1">
      <alignment horizontal="center" vertical="center"/>
    </xf>
    <xf numFmtId="43" fontId="11" fillId="2" borderId="1" xfId="5" applyFont="1" applyFill="1" applyBorder="1" applyAlignment="1">
      <alignment horizontal="center" vertical="center"/>
    </xf>
    <xf numFmtId="43" fontId="17" fillId="2" borderId="0" xfId="5" applyFont="1" applyFill="1" applyBorder="1"/>
    <xf numFmtId="165" fontId="17" fillId="2" borderId="0" xfId="0" applyNumberFormat="1" applyFont="1" applyFill="1"/>
    <xf numFmtId="165" fontId="16" fillId="2" borderId="0" xfId="0" applyNumberFormat="1" applyFont="1" applyFill="1"/>
    <xf numFmtId="164" fontId="12" fillId="2" borderId="16" xfId="5" applyNumberFormat="1" applyFont="1" applyFill="1" applyBorder="1" applyAlignment="1">
      <alignment horizontal="right" vertical="top"/>
    </xf>
    <xf numFmtId="164" fontId="11" fillId="2" borderId="16" xfId="5" applyNumberFormat="1" applyFont="1" applyFill="1" applyBorder="1" applyAlignment="1">
      <alignment horizontal="right" vertical="justify"/>
    </xf>
    <xf numFmtId="171" fontId="12" fillId="2" borderId="16" xfId="5" applyNumberFormat="1" applyFont="1" applyFill="1" applyBorder="1" applyAlignment="1">
      <alignment horizontal="right" vertical="justify"/>
    </xf>
    <xf numFmtId="0" fontId="11" fillId="2" borderId="16" xfId="0" applyFont="1" applyFill="1" applyBorder="1" applyAlignment="1">
      <alignment horizontal="center" vertical="center"/>
    </xf>
    <xf numFmtId="43" fontId="13" fillId="2" borderId="14" xfId="5" applyFont="1" applyFill="1" applyBorder="1" applyAlignment="1" applyProtection="1">
      <alignment horizontal="justify" vertical="top" wrapText="1"/>
      <protection locked="0"/>
    </xf>
    <xf numFmtId="43" fontId="12" fillId="2" borderId="14" xfId="5" applyFont="1" applyFill="1" applyBorder="1" applyAlignment="1" applyProtection="1">
      <alignment horizontal="left" vertical="top" wrapText="1"/>
      <protection locked="0"/>
    </xf>
    <xf numFmtId="43" fontId="12" fillId="2" borderId="14" xfId="5" applyFont="1" applyFill="1" applyBorder="1" applyAlignment="1" applyProtection="1">
      <alignment horizontal="left" wrapText="1"/>
      <protection locked="0"/>
    </xf>
    <xf numFmtId="43" fontId="12" fillId="2" borderId="14" xfId="5" applyFont="1" applyFill="1" applyBorder="1" applyAlignment="1" applyProtection="1">
      <alignment horizontal="justify" vertical="top" wrapText="1"/>
      <protection locked="0"/>
    </xf>
    <xf numFmtId="40" fontId="12" fillId="2" borderId="14" xfId="5" applyNumberFormat="1" applyFont="1" applyFill="1" applyBorder="1" applyAlignment="1">
      <alignment horizontal="justify" vertical="top"/>
    </xf>
    <xf numFmtId="0" fontId="0" fillId="0" borderId="26" xfId="0" applyBorder="1"/>
    <xf numFmtId="43" fontId="23" fillId="0" borderId="27" xfId="0" applyNumberFormat="1" applyFont="1" applyBorder="1" applyAlignment="1">
      <alignment horizontal="center" vertical="center" wrapText="1"/>
    </xf>
    <xf numFmtId="17" fontId="18" fillId="0" borderId="27" xfId="0" applyNumberFormat="1" applyFont="1" applyBorder="1" applyAlignment="1">
      <alignment horizontal="center" vertical="center" wrapText="1"/>
    </xf>
    <xf numFmtId="0" fontId="18" fillId="0" borderId="27" xfId="0" applyFont="1" applyBorder="1" applyAlignment="1">
      <alignment horizontal="center" vertical="center"/>
    </xf>
    <xf numFmtId="0" fontId="0" fillId="0" borderId="28" xfId="0" applyBorder="1"/>
    <xf numFmtId="0" fontId="10" fillId="2" borderId="0" xfId="0" applyFont="1" applyFill="1" applyAlignment="1">
      <alignment horizontal="center" vertical="top" wrapText="1"/>
    </xf>
    <xf numFmtId="0" fontId="24" fillId="2" borderId="0" xfId="0" applyFont="1" applyFill="1" applyAlignment="1">
      <alignment horizontal="center" vertical="top"/>
    </xf>
    <xf numFmtId="0" fontId="17" fillId="2" borderId="0" xfId="0" applyFont="1" applyFill="1" applyAlignment="1">
      <alignment horizontal="center" vertical="top"/>
    </xf>
    <xf numFmtId="0" fontId="25" fillId="2" borderId="0" xfId="0" applyFont="1" applyFill="1" applyAlignment="1">
      <alignment horizontal="center"/>
    </xf>
    <xf numFmtId="0" fontId="26" fillId="2" borderId="0" xfId="0" applyFont="1" applyFill="1" applyAlignment="1">
      <alignment horizontal="center"/>
    </xf>
    <xf numFmtId="0" fontId="2" fillId="0" borderId="2" xfId="4" applyBorder="1" applyAlignment="1">
      <alignment horizontal="center" vertical="center"/>
    </xf>
    <xf numFmtId="2" fontId="8" fillId="0" borderId="2" xfId="0" applyNumberFormat="1" applyFont="1" applyBorder="1" applyAlignment="1">
      <alignment horizontal="center"/>
    </xf>
    <xf numFmtId="2" fontId="7" fillId="0" borderId="0" xfId="0" applyNumberFormat="1" applyFont="1" applyAlignment="1">
      <alignment horizontal="left"/>
    </xf>
  </cellXfs>
  <cellStyles count="6">
    <cellStyle name="Comma" xfId="5" builtinId="3"/>
    <cellStyle name="Normal" xfId="0" builtinId="0"/>
    <cellStyle name="Normal 2" xfId="1" xr:uid="{00000000-0005-0000-0000-000002000000}"/>
    <cellStyle name="Normal 3" xfId="2" xr:uid="{00000000-0005-0000-0000-000003000000}"/>
    <cellStyle name="Normal 4" xfId="3" xr:uid="{00000000-0005-0000-0000-000004000000}"/>
    <cellStyle name="Normal 5" xfId="4" xr:uid="{00000000-0005-0000-0000-000005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8C8AE-6323-4714-9E34-B84A052AB0D6}">
  <dimension ref="B3:B8"/>
  <sheetViews>
    <sheetView workbookViewId="0">
      <selection activeCell="B4" sqref="B4"/>
    </sheetView>
  </sheetViews>
  <sheetFormatPr defaultRowHeight="15"/>
  <cols>
    <col min="2" max="2" width="90.7109375" customWidth="1"/>
  </cols>
  <sheetData>
    <row r="3" spans="2:2">
      <c r="B3" s="150"/>
    </row>
    <row r="4" spans="2:2" ht="91.5" customHeight="1">
      <c r="B4" s="151" t="str">
        <f>BOQ!A1</f>
        <v>Masonry finishes &amp; Exterior Painting Works – Amaan Hiyaa, VMH</v>
      </c>
    </row>
    <row r="5" spans="2:2" ht="25.5">
      <c r="B5" s="151"/>
    </row>
    <row r="6" spans="2:2" ht="20.25">
      <c r="B6" s="152">
        <v>46242</v>
      </c>
    </row>
    <row r="7" spans="2:2" ht="20.25">
      <c r="B7" s="153" t="s">
        <v>0</v>
      </c>
    </row>
    <row r="8" spans="2:2">
      <c r="B8" s="15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view="pageBreakPreview" zoomScale="106" zoomScaleNormal="100" zoomScaleSheetLayoutView="106" workbookViewId="0">
      <selection activeCell="E21" sqref="E21"/>
    </sheetView>
  </sheetViews>
  <sheetFormatPr defaultRowHeight="12.75"/>
  <cols>
    <col min="1" max="1" width="9.140625" style="117"/>
    <col min="2" max="2" width="56.7109375" style="117" customWidth="1"/>
    <col min="3" max="3" width="19.5703125" style="118" customWidth="1"/>
    <col min="4" max="16384" width="9.140625" style="117"/>
  </cols>
  <sheetData>
    <row r="1" spans="1:3" ht="15.75">
      <c r="A1" s="159" t="str">
        <f>BOQ!A1</f>
        <v>Masonry finishes &amp; Exterior Painting Works – Amaan Hiyaa, VMH</v>
      </c>
      <c r="B1" s="159"/>
      <c r="C1" s="159"/>
    </row>
    <row r="2" spans="1:3" ht="20.25">
      <c r="A2" s="158" t="s">
        <v>1</v>
      </c>
      <c r="B2" s="158"/>
      <c r="C2" s="158"/>
    </row>
    <row r="4" spans="1:3" s="121" customFormat="1" ht="17.100000000000001" customHeight="1">
      <c r="A4" s="120" t="s">
        <v>2</v>
      </c>
      <c r="B4" s="120" t="s">
        <v>3</v>
      </c>
      <c r="C4" s="120" t="s">
        <v>4</v>
      </c>
    </row>
    <row r="5" spans="1:3" s="125" customFormat="1" ht="17.100000000000001" customHeight="1">
      <c r="A5" s="122">
        <v>1</v>
      </c>
      <c r="B5" s="123" t="str">
        <f>BOQ!B28</f>
        <v>BILL N0: 01 -PRELIMINARIES</v>
      </c>
      <c r="C5" s="124">
        <f>BOQ!F28</f>
        <v>0</v>
      </c>
    </row>
    <row r="6" spans="1:3" s="125" customFormat="1" ht="17.100000000000001" customHeight="1">
      <c r="A6" s="122">
        <v>2</v>
      </c>
      <c r="B6" s="126" t="str">
        <f>BOQ!B48</f>
        <v>BILL N0: 02 - GENERAL REPAIR  &amp; MASONRY FINISHINGS</v>
      </c>
      <c r="C6" s="124">
        <f>BOQ!F48</f>
        <v>0</v>
      </c>
    </row>
    <row r="7" spans="1:3" s="125" customFormat="1" ht="17.100000000000001" customHeight="1">
      <c r="A7" s="122">
        <v>3</v>
      </c>
      <c r="B7" s="126" t="str">
        <f>BOQ!B67</f>
        <v>BILL N0: 03 - EXTERIOR WALL PAINT</v>
      </c>
      <c r="C7" s="124">
        <f>BOQ!F67</f>
        <v>0</v>
      </c>
    </row>
    <row r="8" spans="1:3" s="125" customFormat="1" ht="17.100000000000001" customHeight="1">
      <c r="A8" s="122"/>
      <c r="B8" s="126"/>
      <c r="C8" s="124"/>
    </row>
    <row r="9" spans="1:3" s="125" customFormat="1" ht="17.100000000000001" customHeight="1">
      <c r="A9" s="122"/>
      <c r="B9" s="126"/>
      <c r="C9" s="124"/>
    </row>
    <row r="10" spans="1:3" s="125" customFormat="1" ht="17.100000000000001" customHeight="1">
      <c r="A10" s="122"/>
      <c r="B10" s="127"/>
      <c r="C10" s="124"/>
    </row>
    <row r="11" spans="1:3" s="125" customFormat="1" ht="17.100000000000001" customHeight="1">
      <c r="A11" s="122"/>
      <c r="B11" s="127"/>
      <c r="C11" s="124"/>
    </row>
    <row r="12" spans="1:3" s="125" customFormat="1" ht="17.100000000000001" customHeight="1">
      <c r="A12" s="122"/>
      <c r="B12" s="127"/>
      <c r="C12" s="124"/>
    </row>
    <row r="13" spans="1:3" s="125" customFormat="1" ht="17.100000000000001" customHeight="1">
      <c r="A13" s="122"/>
      <c r="B13" s="123"/>
      <c r="C13" s="124"/>
    </row>
    <row r="14" spans="1:3" s="125" customFormat="1" ht="17.100000000000001" customHeight="1">
      <c r="A14" s="122"/>
      <c r="B14" s="128"/>
      <c r="C14" s="129"/>
    </row>
    <row r="15" spans="1:3" s="125" customFormat="1" ht="17.100000000000001" customHeight="1">
      <c r="A15" s="122"/>
      <c r="B15" s="130"/>
      <c r="C15" s="129"/>
    </row>
    <row r="16" spans="1:3" s="125" customFormat="1" ht="17.100000000000001" customHeight="1">
      <c r="A16" s="131"/>
      <c r="B16" s="132" t="s">
        <v>5</v>
      </c>
      <c r="C16" s="133">
        <f>SUM(C5:C15)</f>
        <v>0</v>
      </c>
    </row>
    <row r="17" spans="1:4" s="125" customFormat="1" ht="17.100000000000001" customHeight="1">
      <c r="A17" s="134"/>
      <c r="B17" s="135" t="s">
        <v>6</v>
      </c>
      <c r="C17" s="136">
        <f>C16*0.08</f>
        <v>0</v>
      </c>
    </row>
    <row r="18" spans="1:4" s="125" customFormat="1" ht="17.100000000000001" customHeight="1">
      <c r="A18" s="131"/>
      <c r="B18" s="132" t="s">
        <v>7</v>
      </c>
      <c r="C18" s="137">
        <f>C16+C17</f>
        <v>0</v>
      </c>
    </row>
    <row r="19" spans="1:4" ht="15.75">
      <c r="B19" s="119"/>
      <c r="C19" s="138"/>
      <c r="D19" s="139"/>
    </row>
    <row r="20" spans="1:4">
      <c r="D20" s="140"/>
    </row>
  </sheetData>
  <mergeCells count="2">
    <mergeCell ref="A2:C2"/>
    <mergeCell ref="A1:C1"/>
  </mergeCells>
  <pageMargins left="0.55000000000000004" right="0.53"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8"/>
  <sheetViews>
    <sheetView tabSelected="1" view="pageBreakPreview" topLeftCell="A33" zoomScale="130" zoomScaleNormal="100" zoomScaleSheetLayoutView="130" zoomScalePageLayoutView="145" workbookViewId="0">
      <selection activeCell="I37" sqref="I37"/>
    </sheetView>
  </sheetViews>
  <sheetFormatPr defaultRowHeight="15" customHeight="1"/>
  <cols>
    <col min="1" max="1" width="6.140625" style="68" customWidth="1"/>
    <col min="2" max="2" width="48.140625" style="68" customWidth="1"/>
    <col min="3" max="3" width="10" style="69" customWidth="1"/>
    <col min="4" max="4" width="6.7109375" style="70" bestFit="1" customWidth="1"/>
    <col min="5" max="5" width="12" style="71" bestFit="1" customWidth="1"/>
    <col min="6" max="6" width="15.28515625" style="72" customWidth="1"/>
    <col min="7" max="7" width="9.140625" style="68"/>
    <col min="8" max="8" width="13.42578125" style="73" bestFit="1" customWidth="1"/>
    <col min="9" max="9" width="12" style="68" bestFit="1" customWidth="1"/>
    <col min="10" max="10" width="13.42578125" style="68" bestFit="1" customWidth="1"/>
    <col min="11" max="11" width="10.7109375" style="68" bestFit="1" customWidth="1"/>
    <col min="12" max="16384" width="9.140625" style="68"/>
  </cols>
  <sheetData>
    <row r="1" spans="1:8" s="73" customFormat="1" ht="15" customHeight="1">
      <c r="A1" s="156" t="s">
        <v>8</v>
      </c>
      <c r="B1" s="157"/>
      <c r="C1" s="157"/>
      <c r="D1" s="157"/>
      <c r="E1" s="157"/>
      <c r="F1" s="157"/>
    </row>
    <row r="2" spans="1:8" ht="15" customHeight="1">
      <c r="A2" s="155" t="s">
        <v>9</v>
      </c>
      <c r="B2" s="155"/>
      <c r="C2" s="155"/>
      <c r="D2" s="155"/>
      <c r="E2" s="155"/>
      <c r="F2" s="155"/>
    </row>
    <row r="3" spans="1:8" ht="18.75" customHeight="1">
      <c r="A3" s="74" t="s">
        <v>2</v>
      </c>
      <c r="B3" s="74" t="s">
        <v>3</v>
      </c>
      <c r="C3" s="75" t="s">
        <v>10</v>
      </c>
      <c r="D3" s="74" t="s">
        <v>11</v>
      </c>
      <c r="E3" s="76" t="s">
        <v>12</v>
      </c>
      <c r="F3" s="77" t="s">
        <v>4</v>
      </c>
      <c r="G3" s="78"/>
    </row>
    <row r="4" spans="1:8" ht="15" customHeight="1">
      <c r="A4" s="79"/>
      <c r="B4" s="65" t="s">
        <v>13</v>
      </c>
      <c r="C4" s="80"/>
      <c r="D4" s="81"/>
      <c r="E4" s="82"/>
      <c r="F4" s="83"/>
      <c r="G4" s="84"/>
      <c r="H4" s="68"/>
    </row>
    <row r="5" spans="1:8" s="90" customFormat="1">
      <c r="A5" s="85"/>
      <c r="B5" s="66" t="s">
        <v>14</v>
      </c>
      <c r="C5" s="86"/>
      <c r="D5" s="87"/>
      <c r="E5" s="88"/>
      <c r="F5" s="89"/>
    </row>
    <row r="6" spans="1:8" s="90" customFormat="1">
      <c r="A6" s="91">
        <v>1</v>
      </c>
      <c r="B6" s="67" t="s">
        <v>15</v>
      </c>
      <c r="C6" s="86"/>
      <c r="D6" s="87"/>
      <c r="E6" s="88"/>
      <c r="F6" s="89"/>
    </row>
    <row r="7" spans="1:8" s="90" customFormat="1">
      <c r="A7" s="85"/>
      <c r="B7" s="92" t="s">
        <v>16</v>
      </c>
      <c r="C7" s="86"/>
      <c r="D7" s="87"/>
      <c r="E7" s="88"/>
      <c r="F7" s="89"/>
    </row>
    <row r="8" spans="1:8" s="90" customFormat="1">
      <c r="A8" s="85"/>
      <c r="B8" s="92" t="s">
        <v>17</v>
      </c>
      <c r="C8" s="86"/>
      <c r="D8" s="87"/>
      <c r="E8" s="88"/>
      <c r="F8" s="89"/>
    </row>
    <row r="9" spans="1:8" s="90" customFormat="1">
      <c r="A9" s="85"/>
      <c r="B9" s="92" t="s">
        <v>18</v>
      </c>
      <c r="C9" s="86"/>
      <c r="D9" s="87"/>
      <c r="E9" s="88"/>
      <c r="F9" s="89"/>
    </row>
    <row r="10" spans="1:8" s="90" customFormat="1">
      <c r="A10" s="85"/>
      <c r="B10" s="92" t="s">
        <v>19</v>
      </c>
      <c r="C10" s="86"/>
      <c r="D10" s="87"/>
      <c r="E10" s="88"/>
      <c r="F10" s="89"/>
    </row>
    <row r="11" spans="1:8" s="90" customFormat="1">
      <c r="A11" s="85"/>
      <c r="B11" s="92" t="s">
        <v>20</v>
      </c>
      <c r="C11" s="86"/>
      <c r="D11" s="87"/>
      <c r="E11" s="88"/>
      <c r="F11" s="89"/>
    </row>
    <row r="12" spans="1:8" s="90" customFormat="1">
      <c r="A12" s="85"/>
      <c r="B12" s="92" t="s">
        <v>21</v>
      </c>
      <c r="C12" s="86"/>
      <c r="D12" s="87"/>
      <c r="E12" s="88"/>
      <c r="F12" s="89"/>
    </row>
    <row r="13" spans="1:8" s="90" customFormat="1">
      <c r="A13" s="85"/>
      <c r="B13" s="92" t="s">
        <v>22</v>
      </c>
      <c r="C13" s="86"/>
      <c r="D13" s="87"/>
      <c r="E13" s="88"/>
      <c r="F13" s="89"/>
    </row>
    <row r="14" spans="1:8" s="90" customFormat="1">
      <c r="A14" s="85"/>
      <c r="B14" s="92" t="s">
        <v>23</v>
      </c>
      <c r="C14" s="86"/>
      <c r="D14" s="87"/>
      <c r="E14" s="88"/>
      <c r="F14" s="89"/>
    </row>
    <row r="15" spans="1:8" s="90" customFormat="1">
      <c r="A15" s="85"/>
      <c r="B15" s="92" t="s">
        <v>24</v>
      </c>
      <c r="C15" s="86"/>
      <c r="D15" s="87"/>
      <c r="E15" s="88"/>
      <c r="F15" s="89"/>
    </row>
    <row r="16" spans="1:8" s="90" customFormat="1">
      <c r="A16" s="85"/>
      <c r="B16" s="92" t="s">
        <v>25</v>
      </c>
      <c r="C16" s="86"/>
      <c r="D16" s="87"/>
      <c r="E16" s="88"/>
      <c r="F16" s="89"/>
    </row>
    <row r="17" spans="1:8" s="90" customFormat="1">
      <c r="A17" s="85"/>
      <c r="B17" s="92" t="s">
        <v>26</v>
      </c>
      <c r="C17" s="86"/>
      <c r="D17" s="87"/>
      <c r="E17" s="88"/>
      <c r="F17" s="89"/>
    </row>
    <row r="18" spans="1:8" s="90" customFormat="1">
      <c r="A18" s="141"/>
      <c r="B18" s="66"/>
      <c r="C18" s="86"/>
      <c r="D18" s="87"/>
      <c r="E18" s="88"/>
      <c r="F18" s="89"/>
    </row>
    <row r="19" spans="1:8" s="90" customFormat="1">
      <c r="A19" s="141"/>
      <c r="B19" s="93"/>
      <c r="C19" s="86"/>
      <c r="D19" s="87"/>
      <c r="E19" s="88"/>
      <c r="F19" s="89"/>
    </row>
    <row r="20" spans="1:8" s="90" customFormat="1">
      <c r="A20" s="142">
        <v>1.1000000000000001</v>
      </c>
      <c r="B20" s="145" t="s">
        <v>27</v>
      </c>
      <c r="C20" s="86"/>
      <c r="D20" s="87"/>
      <c r="E20" s="88"/>
      <c r="F20" s="89"/>
    </row>
    <row r="21" spans="1:8" s="90" customFormat="1" ht="51" customHeight="1">
      <c r="A21" s="143"/>
      <c r="B21" s="146" t="s">
        <v>28</v>
      </c>
      <c r="C21" s="86">
        <v>1</v>
      </c>
      <c r="D21" s="87" t="s">
        <v>2</v>
      </c>
      <c r="E21" s="88"/>
      <c r="F21" s="89"/>
    </row>
    <row r="22" spans="1:8" s="90" customFormat="1">
      <c r="A22" s="144"/>
      <c r="B22" s="147"/>
      <c r="C22" s="86"/>
      <c r="D22" s="87"/>
      <c r="E22" s="88"/>
      <c r="F22" s="89"/>
    </row>
    <row r="23" spans="1:8" s="90" customFormat="1">
      <c r="A23" s="142">
        <v>1.2</v>
      </c>
      <c r="B23" s="145" t="s">
        <v>29</v>
      </c>
      <c r="C23" s="86"/>
      <c r="D23" s="87"/>
      <c r="E23" s="88"/>
      <c r="F23" s="89"/>
    </row>
    <row r="24" spans="1:8" s="90" customFormat="1">
      <c r="A24" s="143"/>
      <c r="B24" s="148" t="s">
        <v>30</v>
      </c>
      <c r="C24" s="86">
        <v>1</v>
      </c>
      <c r="D24" s="87" t="s">
        <v>2</v>
      </c>
      <c r="E24" s="88"/>
      <c r="F24" s="89"/>
    </row>
    <row r="25" spans="1:8" s="90" customFormat="1">
      <c r="A25" s="141"/>
      <c r="B25" s="95"/>
      <c r="C25" s="86"/>
      <c r="D25" s="87"/>
      <c r="E25" s="88"/>
      <c r="F25" s="89"/>
    </row>
    <row r="26" spans="1:8" s="90" customFormat="1">
      <c r="A26" s="141"/>
      <c r="B26" s="95"/>
      <c r="C26" s="86"/>
      <c r="D26" s="87"/>
      <c r="E26" s="88"/>
      <c r="F26" s="89"/>
    </row>
    <row r="27" spans="1:8" s="90" customFormat="1">
      <c r="A27" s="85"/>
      <c r="B27" s="95"/>
      <c r="C27" s="86"/>
      <c r="D27" s="87"/>
      <c r="E27" s="88"/>
      <c r="F27" s="89"/>
    </row>
    <row r="28" spans="1:8" s="96" customFormat="1" ht="14.25">
      <c r="A28" s="53"/>
      <c r="B28" s="54" t="s">
        <v>31</v>
      </c>
      <c r="C28" s="55"/>
      <c r="D28" s="56"/>
      <c r="E28" s="57"/>
      <c r="F28" s="58"/>
    </row>
    <row r="29" spans="1:8" s="96" customFormat="1" ht="14.25">
      <c r="A29" s="59"/>
      <c r="B29" s="60" t="s">
        <v>32</v>
      </c>
      <c r="C29" s="61"/>
      <c r="D29" s="62"/>
      <c r="E29" s="63"/>
      <c r="F29" s="64"/>
    </row>
    <row r="30" spans="1:8" s="90" customFormat="1">
      <c r="A30" s="97"/>
      <c r="B30" s="65" t="s">
        <v>33</v>
      </c>
      <c r="C30" s="98"/>
      <c r="D30" s="99"/>
      <c r="E30" s="100"/>
      <c r="F30" s="101"/>
      <c r="H30" s="102"/>
    </row>
    <row r="31" spans="1:8" s="90" customFormat="1">
      <c r="A31" s="91"/>
      <c r="B31" s="66" t="s">
        <v>34</v>
      </c>
      <c r="C31" s="103"/>
      <c r="D31" s="104"/>
      <c r="E31" s="105"/>
      <c r="F31" s="106"/>
      <c r="H31" s="102"/>
    </row>
    <row r="32" spans="1:8" s="90" customFormat="1">
      <c r="A32" s="107">
        <v>2</v>
      </c>
      <c r="B32" s="67" t="s">
        <v>35</v>
      </c>
      <c r="C32" s="86"/>
      <c r="D32" s="87"/>
      <c r="E32" s="88"/>
      <c r="F32" s="89"/>
    </row>
    <row r="33" spans="1:8" s="112" customFormat="1">
      <c r="A33" s="114"/>
      <c r="B33" s="108"/>
      <c r="C33" s="103"/>
      <c r="D33" s="115"/>
      <c r="E33" s="110"/>
      <c r="F33" s="89"/>
      <c r="H33" s="113"/>
    </row>
    <row r="34" spans="1:8" s="112" customFormat="1">
      <c r="A34" s="107">
        <v>2.1</v>
      </c>
      <c r="B34" s="67" t="s">
        <v>36</v>
      </c>
      <c r="C34" s="103"/>
      <c r="D34" s="115"/>
      <c r="E34" s="110"/>
      <c r="F34" s="89"/>
      <c r="H34" s="113"/>
    </row>
    <row r="35" spans="1:8" s="112" customFormat="1" ht="60.75">
      <c r="A35" s="107"/>
      <c r="B35" s="149" t="s">
        <v>37</v>
      </c>
      <c r="C35" s="103"/>
      <c r="D35" s="115"/>
      <c r="E35" s="110"/>
      <c r="F35" s="89"/>
      <c r="H35" s="113"/>
    </row>
    <row r="36" spans="1:8" s="112" customFormat="1" ht="105" customHeight="1">
      <c r="A36" s="107"/>
      <c r="B36" s="149" t="s">
        <v>38</v>
      </c>
      <c r="C36" s="103"/>
      <c r="D36" s="115"/>
      <c r="E36" s="110"/>
      <c r="F36" s="89"/>
      <c r="H36" s="113"/>
    </row>
    <row r="37" spans="1:8" s="112" customFormat="1" ht="60.75">
      <c r="A37" s="107"/>
      <c r="B37" s="149" t="s">
        <v>39</v>
      </c>
      <c r="C37" s="103"/>
      <c r="D37" s="115"/>
      <c r="E37" s="110"/>
      <c r="F37" s="89"/>
      <c r="H37" s="113"/>
    </row>
    <row r="38" spans="1:8" s="112" customFormat="1" ht="30">
      <c r="A38" s="107"/>
      <c r="B38" s="149" t="s">
        <v>40</v>
      </c>
      <c r="C38" s="103"/>
      <c r="D38" s="115"/>
      <c r="E38" s="110"/>
      <c r="F38" s="89"/>
      <c r="H38" s="113"/>
    </row>
    <row r="39" spans="1:8" s="112" customFormat="1" ht="30">
      <c r="A39" s="114" t="s">
        <v>41</v>
      </c>
      <c r="B39" s="108" t="s">
        <v>42</v>
      </c>
      <c r="C39" s="103">
        <v>1</v>
      </c>
      <c r="D39" s="115" t="s">
        <v>43</v>
      </c>
      <c r="E39" s="110"/>
      <c r="F39" s="89">
        <f>E39*C39</f>
        <v>0</v>
      </c>
      <c r="H39" s="113"/>
    </row>
    <row r="40" spans="1:8" s="112" customFormat="1">
      <c r="A40" s="107">
        <v>2.2000000000000002</v>
      </c>
      <c r="B40" s="116" t="s">
        <v>44</v>
      </c>
      <c r="C40" s="103"/>
      <c r="D40" s="109"/>
      <c r="E40" s="110"/>
      <c r="F40" s="111"/>
      <c r="H40" s="113"/>
    </row>
    <row r="41" spans="1:8" s="112" customFormat="1" ht="60.75">
      <c r="A41" s="91"/>
      <c r="B41" s="108" t="s">
        <v>45</v>
      </c>
      <c r="C41" s="103"/>
      <c r="D41" s="115"/>
      <c r="E41" s="110"/>
      <c r="F41" s="89"/>
      <c r="H41" s="113"/>
    </row>
    <row r="42" spans="1:8" s="112" customFormat="1" ht="30">
      <c r="A42" s="91"/>
      <c r="B42" s="108" t="s">
        <v>46</v>
      </c>
      <c r="C42" s="103"/>
      <c r="D42" s="115"/>
      <c r="E42" s="110"/>
      <c r="F42" s="89"/>
      <c r="H42" s="113"/>
    </row>
    <row r="43" spans="1:8" s="112" customFormat="1" ht="30">
      <c r="A43" s="91"/>
      <c r="B43" s="108" t="s">
        <v>47</v>
      </c>
      <c r="C43" s="103"/>
      <c r="D43" s="115"/>
      <c r="E43" s="110"/>
      <c r="F43" s="89"/>
      <c r="H43" s="113"/>
    </row>
    <row r="44" spans="1:8" s="112" customFormat="1">
      <c r="A44" s="114" t="s">
        <v>48</v>
      </c>
      <c r="B44" s="108" t="s">
        <v>49</v>
      </c>
      <c r="C44" s="103">
        <f>33.82*5.57</f>
        <v>188.37740000000002</v>
      </c>
      <c r="D44" s="115" t="s">
        <v>50</v>
      </c>
      <c r="E44" s="110"/>
      <c r="F44" s="89">
        <f>E44*C44</f>
        <v>0</v>
      </c>
      <c r="H44" s="113"/>
    </row>
    <row r="45" spans="1:8" s="112" customFormat="1">
      <c r="A45" s="114"/>
      <c r="B45" s="108"/>
      <c r="C45" s="103"/>
      <c r="D45" s="115"/>
      <c r="E45" s="110"/>
      <c r="F45" s="89"/>
      <c r="H45" s="113"/>
    </row>
    <row r="46" spans="1:8" s="112" customFormat="1">
      <c r="A46" s="91"/>
      <c r="B46" s="116"/>
      <c r="C46" s="103"/>
      <c r="D46" s="115"/>
      <c r="E46" s="110"/>
      <c r="F46" s="89"/>
      <c r="H46" s="113"/>
    </row>
    <row r="47" spans="1:8" s="112" customFormat="1">
      <c r="A47" s="114"/>
      <c r="B47" s="108"/>
      <c r="C47" s="103"/>
      <c r="D47" s="109"/>
      <c r="E47" s="110"/>
      <c r="F47" s="111"/>
      <c r="H47" s="113"/>
    </row>
    <row r="48" spans="1:8" s="96" customFormat="1" ht="14.25">
      <c r="A48" s="53"/>
      <c r="B48" s="54" t="s">
        <v>51</v>
      </c>
      <c r="C48" s="55"/>
      <c r="D48" s="56"/>
      <c r="E48" s="57"/>
      <c r="F48" s="58">
        <f>F39+F44</f>
        <v>0</v>
      </c>
    </row>
    <row r="49" spans="1:8" s="96" customFormat="1" ht="14.25">
      <c r="A49" s="59"/>
      <c r="B49" s="60" t="s">
        <v>52</v>
      </c>
      <c r="C49" s="61"/>
      <c r="D49" s="62"/>
      <c r="E49" s="63"/>
      <c r="F49" s="64"/>
    </row>
    <row r="50" spans="1:8" ht="15" customHeight="1">
      <c r="A50" s="97"/>
      <c r="B50" s="65" t="s">
        <v>53</v>
      </c>
      <c r="C50" s="98"/>
      <c r="D50" s="99"/>
      <c r="E50" s="100"/>
      <c r="F50" s="101"/>
      <c r="H50" s="68"/>
    </row>
    <row r="51" spans="1:8" ht="15" customHeight="1">
      <c r="A51" s="91"/>
      <c r="B51" s="66" t="s">
        <v>54</v>
      </c>
      <c r="C51" s="103"/>
      <c r="D51" s="104"/>
      <c r="E51" s="105"/>
      <c r="F51" s="106"/>
      <c r="H51" s="68"/>
    </row>
    <row r="52" spans="1:8" ht="15" customHeight="1">
      <c r="A52" s="107">
        <v>3</v>
      </c>
      <c r="B52" s="67" t="s">
        <v>35</v>
      </c>
      <c r="C52" s="86"/>
      <c r="D52" s="87"/>
      <c r="E52" s="88"/>
      <c r="F52" s="89"/>
      <c r="H52" s="68"/>
    </row>
    <row r="53" spans="1:8" ht="15" customHeight="1">
      <c r="A53" s="107"/>
      <c r="B53" s="108" t="s">
        <v>55</v>
      </c>
      <c r="C53" s="86"/>
      <c r="D53" s="87"/>
      <c r="E53" s="88"/>
      <c r="F53" s="89"/>
      <c r="H53" s="68"/>
    </row>
    <row r="54" spans="1:8" ht="15" customHeight="1">
      <c r="A54" s="85"/>
      <c r="B54" s="108" t="s">
        <v>56</v>
      </c>
      <c r="C54" s="86"/>
      <c r="D54" s="94">
        <v>0</v>
      </c>
      <c r="E54" s="88"/>
      <c r="F54" s="89"/>
      <c r="H54" s="68"/>
    </row>
    <row r="55" spans="1:8" ht="15" customHeight="1">
      <c r="A55" s="85"/>
      <c r="B55" s="108" t="s">
        <v>57</v>
      </c>
      <c r="C55" s="86"/>
      <c r="D55" s="94">
        <v>0</v>
      </c>
      <c r="E55" s="88"/>
      <c r="F55" s="89"/>
      <c r="H55" s="68"/>
    </row>
    <row r="56" spans="1:8" ht="15" customHeight="1">
      <c r="A56" s="107"/>
      <c r="B56" s="108" t="s">
        <v>58</v>
      </c>
      <c r="C56" s="86"/>
      <c r="D56" s="87"/>
      <c r="E56" s="88"/>
      <c r="F56" s="89"/>
      <c r="H56" s="68"/>
    </row>
    <row r="57" spans="1:8" ht="15" customHeight="1">
      <c r="A57" s="85"/>
      <c r="B57" s="108" t="s">
        <v>59</v>
      </c>
      <c r="C57" s="103"/>
      <c r="D57" s="109"/>
      <c r="E57" s="110"/>
      <c r="F57" s="111"/>
      <c r="H57" s="68"/>
    </row>
    <row r="58" spans="1:8" ht="15" customHeight="1">
      <c r="A58" s="85"/>
      <c r="B58" s="108" t="s">
        <v>60</v>
      </c>
      <c r="C58" s="103"/>
      <c r="D58" s="109"/>
      <c r="E58" s="110"/>
      <c r="F58" s="111"/>
      <c r="H58" s="68"/>
    </row>
    <row r="59" spans="1:8" ht="15" customHeight="1">
      <c r="A59" s="85"/>
      <c r="B59" s="108"/>
      <c r="C59" s="103"/>
      <c r="D59" s="109"/>
      <c r="E59" s="110"/>
      <c r="F59" s="111"/>
      <c r="H59" s="68"/>
    </row>
    <row r="60" spans="1:8" ht="15" customHeight="1">
      <c r="A60" s="107">
        <v>3.1</v>
      </c>
      <c r="B60" s="67" t="s">
        <v>61</v>
      </c>
      <c r="C60" s="86"/>
      <c r="D60" s="87"/>
      <c r="E60" s="88"/>
      <c r="F60" s="89"/>
      <c r="H60" s="68"/>
    </row>
    <row r="61" spans="1:8" ht="15" customHeight="1">
      <c r="A61" s="91"/>
      <c r="B61" s="116" t="s">
        <v>62</v>
      </c>
      <c r="C61" s="103"/>
      <c r="D61" s="109"/>
      <c r="E61" s="110"/>
      <c r="F61" s="111"/>
      <c r="H61" s="68"/>
    </row>
    <row r="62" spans="1:8" ht="60.75">
      <c r="A62" s="85"/>
      <c r="B62" s="108" t="s">
        <v>63</v>
      </c>
      <c r="C62" s="103"/>
      <c r="D62" s="109"/>
      <c r="E62" s="110"/>
      <c r="F62" s="111"/>
      <c r="H62" s="68"/>
    </row>
    <row r="63" spans="1:8" ht="30">
      <c r="A63" s="91"/>
      <c r="B63" s="108" t="s">
        <v>64</v>
      </c>
      <c r="C63" s="103"/>
      <c r="D63" s="109"/>
      <c r="E63" s="110"/>
      <c r="F63" s="111"/>
      <c r="H63" s="68"/>
    </row>
    <row r="64" spans="1:8" ht="15" customHeight="1">
      <c r="A64" s="114" t="s">
        <v>65</v>
      </c>
      <c r="B64" s="108" t="s">
        <v>66</v>
      </c>
      <c r="C64" s="103">
        <v>1780</v>
      </c>
      <c r="D64" s="115" t="s">
        <v>67</v>
      </c>
      <c r="E64" s="110"/>
      <c r="F64" s="89">
        <f>E64*C64</f>
        <v>0</v>
      </c>
      <c r="H64" s="68"/>
    </row>
    <row r="65" spans="1:8" ht="15" customHeight="1">
      <c r="A65" s="114"/>
      <c r="B65" s="108"/>
      <c r="C65" s="103"/>
      <c r="D65" s="115"/>
      <c r="E65" s="110"/>
      <c r="F65" s="89"/>
      <c r="H65" s="68"/>
    </row>
    <row r="66" spans="1:8" ht="15" customHeight="1">
      <c r="A66" s="114"/>
      <c r="B66" s="108"/>
      <c r="C66" s="103"/>
      <c r="D66" s="109"/>
      <c r="E66" s="110"/>
      <c r="F66" s="111"/>
    </row>
    <row r="67" spans="1:8" ht="15" customHeight="1">
      <c r="A67" s="53"/>
      <c r="B67" s="54" t="s">
        <v>68</v>
      </c>
      <c r="C67" s="55"/>
      <c r="D67" s="56"/>
      <c r="E67" s="57"/>
      <c r="F67" s="58">
        <f>F64</f>
        <v>0</v>
      </c>
    </row>
    <row r="68" spans="1:8" ht="15" customHeight="1">
      <c r="A68" s="59"/>
      <c r="B68" s="60" t="s">
        <v>69</v>
      </c>
      <c r="C68" s="61"/>
      <c r="D68" s="62"/>
      <c r="E68" s="63"/>
      <c r="F68" s="64"/>
    </row>
  </sheetData>
  <mergeCells count="2">
    <mergeCell ref="A2:F2"/>
    <mergeCell ref="A1:F1"/>
  </mergeCells>
  <printOptions horizontalCentered="1"/>
  <pageMargins left="0.2" right="0.2" top="0.62" bottom="0.73" header="0.3" footer="0.56000000000000005"/>
  <pageSetup paperSize="9" orientation="portrait" r:id="rId1"/>
  <headerFooter>
    <firstFooter>&amp;CPage &amp;P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5"/>
  <sheetViews>
    <sheetView topLeftCell="A94" workbookViewId="0">
      <selection activeCell="E117" sqref="E117"/>
    </sheetView>
  </sheetViews>
  <sheetFormatPr defaultRowHeight="15"/>
  <cols>
    <col min="1" max="1" width="28.5703125" style="3" customWidth="1"/>
    <col min="5" max="5" width="11.140625" style="2" customWidth="1"/>
    <col min="11" max="11" width="19" customWidth="1"/>
    <col min="12" max="12" width="10.42578125" customWidth="1"/>
    <col min="13" max="13" width="10.28515625" customWidth="1"/>
  </cols>
  <sheetData>
    <row r="1" spans="1:7">
      <c r="A1" s="8" t="s">
        <v>70</v>
      </c>
    </row>
    <row r="2" spans="1:7">
      <c r="A2" s="3" t="s">
        <v>71</v>
      </c>
    </row>
    <row r="3" spans="1:7">
      <c r="A3" s="3" t="s">
        <v>72</v>
      </c>
      <c r="B3" t="s">
        <v>73</v>
      </c>
      <c r="C3" t="s">
        <v>74</v>
      </c>
      <c r="D3" t="s">
        <v>75</v>
      </c>
    </row>
    <row r="4" spans="1:7">
      <c r="B4">
        <v>0.75</v>
      </c>
      <c r="C4">
        <v>0.75</v>
      </c>
      <c r="D4">
        <v>0.75</v>
      </c>
      <c r="E4" s="4">
        <f>D4*C4*B4*21</f>
        <v>8.859375</v>
      </c>
    </row>
    <row r="7" spans="1:7">
      <c r="A7" s="3" t="s">
        <v>76</v>
      </c>
    </row>
    <row r="8" spans="1:7">
      <c r="A8" s="3" t="s">
        <v>77</v>
      </c>
      <c r="B8" t="s">
        <v>73</v>
      </c>
      <c r="C8" t="s">
        <v>74</v>
      </c>
      <c r="D8" t="s">
        <v>75</v>
      </c>
    </row>
    <row r="9" spans="1:7">
      <c r="B9">
        <v>95.3</v>
      </c>
      <c r="C9">
        <v>0.2</v>
      </c>
      <c r="D9">
        <v>0.5</v>
      </c>
      <c r="E9" s="2">
        <f>D9*C9*B9</f>
        <v>9.5299999999999994</v>
      </c>
    </row>
    <row r="11" spans="1:7">
      <c r="A11" s="3" t="s">
        <v>76</v>
      </c>
    </row>
    <row r="12" spans="1:7">
      <c r="A12" s="3" t="s">
        <v>78</v>
      </c>
      <c r="B12" t="s">
        <v>73</v>
      </c>
      <c r="C12" t="s">
        <v>74</v>
      </c>
      <c r="D12" t="s">
        <v>75</v>
      </c>
    </row>
    <row r="13" spans="1:7">
      <c r="B13">
        <v>12.5</v>
      </c>
      <c r="C13">
        <v>0.2</v>
      </c>
      <c r="D13">
        <v>0.5</v>
      </c>
      <c r="E13" s="2">
        <f>D13*C13*B13</f>
        <v>1.25</v>
      </c>
    </row>
    <row r="14" spans="1:7">
      <c r="E14" s="4">
        <f>SUM(E9:E13)</f>
        <v>10.78</v>
      </c>
      <c r="G14" s="6">
        <f>E14+E4</f>
        <v>19.639375000000001</v>
      </c>
    </row>
    <row r="16" spans="1:7">
      <c r="A16" s="8" t="s">
        <v>79</v>
      </c>
    </row>
    <row r="17" spans="1:7">
      <c r="B17" t="s">
        <v>73</v>
      </c>
      <c r="C17" t="s">
        <v>74</v>
      </c>
      <c r="D17" t="s">
        <v>75</v>
      </c>
    </row>
    <row r="18" spans="1:7">
      <c r="A18" s="5" t="s">
        <v>80</v>
      </c>
      <c r="B18">
        <v>0.75</v>
      </c>
      <c r="C18">
        <v>0.75</v>
      </c>
      <c r="D18">
        <v>0.25</v>
      </c>
      <c r="E18" s="7">
        <f>D18*C18*B18*21</f>
        <v>2.953125</v>
      </c>
    </row>
    <row r="19" spans="1:7">
      <c r="A19" s="5" t="s">
        <v>81</v>
      </c>
      <c r="B19">
        <v>95.3</v>
      </c>
      <c r="C19">
        <v>0.3</v>
      </c>
      <c r="D19">
        <v>0.2</v>
      </c>
      <c r="E19" s="7">
        <f>D19*C19*B19</f>
        <v>5.718</v>
      </c>
    </row>
    <row r="20" spans="1:7">
      <c r="A20" s="5" t="s">
        <v>82</v>
      </c>
      <c r="B20">
        <v>12.5</v>
      </c>
      <c r="C20">
        <v>0.2</v>
      </c>
      <c r="D20">
        <v>0.2</v>
      </c>
      <c r="E20" s="7">
        <f>D20*C20*B20</f>
        <v>0.50000000000000011</v>
      </c>
    </row>
    <row r="21" spans="1:7">
      <c r="A21" s="5"/>
      <c r="E21" s="4">
        <f>SUM(E18:E20)</f>
        <v>9.171125</v>
      </c>
      <c r="G21" s="6">
        <f>G14-E21</f>
        <v>10.468250000000001</v>
      </c>
    </row>
    <row r="22" spans="1:7">
      <c r="A22" s="5"/>
    </row>
    <row r="23" spans="1:7">
      <c r="A23" s="8" t="s">
        <v>83</v>
      </c>
    </row>
    <row r="24" spans="1:7">
      <c r="B24" t="s">
        <v>73</v>
      </c>
      <c r="C24" t="s">
        <v>74</v>
      </c>
      <c r="D24" t="s">
        <v>84</v>
      </c>
    </row>
    <row r="25" spans="1:7">
      <c r="A25" s="5" t="s">
        <v>80</v>
      </c>
      <c r="C25">
        <v>0.75</v>
      </c>
      <c r="D25">
        <v>0.75</v>
      </c>
      <c r="E25" s="2">
        <f>D25*C25*21</f>
        <v>11.8125</v>
      </c>
    </row>
    <row r="26" spans="1:7">
      <c r="A26" s="5" t="s">
        <v>81</v>
      </c>
      <c r="B26">
        <v>95.3</v>
      </c>
      <c r="C26">
        <v>0.2</v>
      </c>
      <c r="E26" s="2">
        <f>C26*B26</f>
        <v>19.059999999999999</v>
      </c>
    </row>
    <row r="27" spans="1:7">
      <c r="A27" s="5" t="s">
        <v>82</v>
      </c>
      <c r="B27">
        <v>12.5</v>
      </c>
      <c r="C27">
        <v>0.2</v>
      </c>
      <c r="E27" s="2">
        <f t="shared" ref="E27:E28" si="0">C27*B27</f>
        <v>2.5</v>
      </c>
    </row>
    <row r="28" spans="1:7">
      <c r="A28" s="5" t="s">
        <v>85</v>
      </c>
      <c r="B28" s="2">
        <v>23.824999999999999</v>
      </c>
      <c r="C28">
        <v>4.8499999999999996</v>
      </c>
      <c r="E28" s="2">
        <f t="shared" si="0"/>
        <v>115.55124999999998</v>
      </c>
    </row>
    <row r="29" spans="1:7">
      <c r="E29" s="4">
        <f>SUM(E25:E28)</f>
        <v>148.92374999999998</v>
      </c>
    </row>
    <row r="31" spans="1:7">
      <c r="A31" s="8" t="s">
        <v>86</v>
      </c>
    </row>
    <row r="32" spans="1:7">
      <c r="B32" t="s">
        <v>73</v>
      </c>
      <c r="C32" t="s">
        <v>74</v>
      </c>
      <c r="D32" t="s">
        <v>84</v>
      </c>
    </row>
    <row r="33" spans="1:12">
      <c r="A33" s="5" t="s">
        <v>80</v>
      </c>
      <c r="C33">
        <v>0.75</v>
      </c>
      <c r="D33">
        <v>0.25</v>
      </c>
      <c r="E33" s="2">
        <f>(D33*C33*4)*21</f>
        <v>15.75</v>
      </c>
      <c r="I33">
        <v>21.7</v>
      </c>
      <c r="J33">
        <f>I33*2</f>
        <v>43.4</v>
      </c>
      <c r="K33">
        <f>J33*0.47</f>
        <v>20.398</v>
      </c>
    </row>
    <row r="34" spans="1:12">
      <c r="A34" s="5" t="s">
        <v>81</v>
      </c>
      <c r="B34">
        <v>95.3</v>
      </c>
      <c r="C34">
        <v>1</v>
      </c>
      <c r="E34" s="2">
        <f>C34*B34</f>
        <v>95.3</v>
      </c>
      <c r="I34">
        <v>23.725000000000001</v>
      </c>
      <c r="K34">
        <f>I34*0.2*2</f>
        <v>9.49</v>
      </c>
      <c r="L34">
        <f>I34*0.45*2</f>
        <v>21.352500000000003</v>
      </c>
    </row>
    <row r="35" spans="1:12">
      <c r="A35" s="5" t="s">
        <v>82</v>
      </c>
      <c r="B35">
        <v>12.5</v>
      </c>
      <c r="C35">
        <v>0.8</v>
      </c>
      <c r="E35" s="2">
        <f>C35*B35</f>
        <v>10</v>
      </c>
      <c r="I35">
        <v>4.75</v>
      </c>
      <c r="J35">
        <f>I35*2</f>
        <v>9.5</v>
      </c>
      <c r="K35">
        <f>J35*0.47*2</f>
        <v>8.93</v>
      </c>
    </row>
    <row r="36" spans="1:12">
      <c r="A36" s="5" t="s">
        <v>87</v>
      </c>
      <c r="E36" s="2">
        <f>L38</f>
        <v>102.0005</v>
      </c>
      <c r="I36">
        <v>3.2</v>
      </c>
      <c r="J36">
        <f>I36*10</f>
        <v>32</v>
      </c>
      <c r="K36">
        <f>J36*0.47*2</f>
        <v>30.08</v>
      </c>
    </row>
    <row r="37" spans="1:12">
      <c r="A37" s="5"/>
      <c r="I37">
        <v>1.25</v>
      </c>
      <c r="J37">
        <f>I37*10</f>
        <v>12.5</v>
      </c>
      <c r="K37">
        <f>J37*0.47*2</f>
        <v>11.75</v>
      </c>
    </row>
    <row r="38" spans="1:12">
      <c r="A38" s="5"/>
      <c r="K38">
        <f>SUM(K33:K37)</f>
        <v>80.647999999999996</v>
      </c>
      <c r="L38" s="1">
        <f>K38+L34</f>
        <v>102.0005</v>
      </c>
    </row>
    <row r="39" spans="1:12">
      <c r="E39" s="4">
        <f>SUM(E33:E36)</f>
        <v>223.0505</v>
      </c>
    </row>
    <row r="41" spans="1:12">
      <c r="A41" s="8" t="s">
        <v>88</v>
      </c>
    </row>
    <row r="42" spans="1:12">
      <c r="B42" t="s">
        <v>73</v>
      </c>
      <c r="C42" t="s">
        <v>74</v>
      </c>
      <c r="D42" t="s">
        <v>84</v>
      </c>
    </row>
    <row r="43" spans="1:12">
      <c r="A43" s="5" t="s">
        <v>80</v>
      </c>
      <c r="B43">
        <v>0.8</v>
      </c>
      <c r="C43">
        <v>0.8</v>
      </c>
      <c r="E43" s="2">
        <f>C43*B43*21</f>
        <v>13.440000000000003</v>
      </c>
    </row>
    <row r="44" spans="1:12">
      <c r="A44" s="5" t="s">
        <v>81</v>
      </c>
      <c r="B44">
        <v>95.3</v>
      </c>
      <c r="C44">
        <v>0.3</v>
      </c>
      <c r="E44" s="2">
        <f>C44*B44</f>
        <v>28.59</v>
      </c>
    </row>
    <row r="45" spans="1:12">
      <c r="A45" s="5" t="s">
        <v>82</v>
      </c>
      <c r="B45">
        <v>12.5</v>
      </c>
      <c r="C45">
        <v>0.3</v>
      </c>
      <c r="E45" s="2">
        <f>C45*B45</f>
        <v>3.75</v>
      </c>
    </row>
    <row r="46" spans="1:12">
      <c r="E46" s="4">
        <f>SUM(E43:E45)</f>
        <v>45.78</v>
      </c>
    </row>
    <row r="48" spans="1:12">
      <c r="A48" s="8" t="s">
        <v>89</v>
      </c>
      <c r="B48" t="s">
        <v>73</v>
      </c>
      <c r="C48" t="s">
        <v>74</v>
      </c>
      <c r="D48" t="s">
        <v>84</v>
      </c>
    </row>
    <row r="49" spans="1:9">
      <c r="A49" s="3" t="s">
        <v>90</v>
      </c>
      <c r="B49">
        <v>0.75</v>
      </c>
      <c r="C49">
        <v>0.75</v>
      </c>
      <c r="D49">
        <v>0.25</v>
      </c>
      <c r="E49" s="4">
        <f>D49*C49*B49*21</f>
        <v>2.953125</v>
      </c>
    </row>
    <row r="50" spans="1:9">
      <c r="A50" s="3" t="s">
        <v>91</v>
      </c>
      <c r="B50">
        <v>23.83</v>
      </c>
      <c r="C50">
        <v>4.8499999999999996</v>
      </c>
      <c r="D50">
        <v>7.4999999999999997E-2</v>
      </c>
      <c r="E50" s="4">
        <f>D50*C50*B50</f>
        <v>8.6681624999999993</v>
      </c>
    </row>
    <row r="51" spans="1:9">
      <c r="A51" s="3" t="s">
        <v>92</v>
      </c>
      <c r="B51">
        <v>102.2</v>
      </c>
      <c r="C51">
        <v>0.2</v>
      </c>
      <c r="D51">
        <v>0.3</v>
      </c>
      <c r="E51" s="4">
        <f t="shared" ref="E51:E57" si="1">D51*C51*B51</f>
        <v>6.1319999999999997</v>
      </c>
    </row>
    <row r="52" spans="1:9">
      <c r="A52" s="3" t="s">
        <v>93</v>
      </c>
      <c r="B52">
        <v>40.725000000000001</v>
      </c>
      <c r="C52">
        <v>0.2</v>
      </c>
      <c r="D52">
        <v>0.25</v>
      </c>
      <c r="E52" s="4">
        <f t="shared" si="1"/>
        <v>2.0362500000000003</v>
      </c>
    </row>
    <row r="53" spans="1:9">
      <c r="A53" s="3" t="s">
        <v>94</v>
      </c>
      <c r="B53">
        <v>3.5249999999999999</v>
      </c>
      <c r="C53">
        <v>0.2</v>
      </c>
      <c r="D53">
        <v>0.2</v>
      </c>
      <c r="E53" s="4">
        <f>D53*C53*B53*26</f>
        <v>3.6660000000000004</v>
      </c>
    </row>
    <row r="54" spans="1:9">
      <c r="A54" s="3" t="s">
        <v>95</v>
      </c>
      <c r="B54">
        <v>3.5249999999999999</v>
      </c>
      <c r="C54">
        <v>0.15</v>
      </c>
      <c r="D54">
        <v>0.15</v>
      </c>
      <c r="E54" s="4">
        <f>D54*C54*B54*10</f>
        <v>0.79312499999999997</v>
      </c>
      <c r="H54" t="s">
        <v>96</v>
      </c>
    </row>
    <row r="55" spans="1:9">
      <c r="A55" s="3" t="s">
        <v>97</v>
      </c>
      <c r="B55">
        <v>104.425</v>
      </c>
      <c r="C55">
        <v>0.25</v>
      </c>
      <c r="D55">
        <v>0.35</v>
      </c>
      <c r="E55" s="4">
        <f>D55*C55*B55</f>
        <v>9.1371874999999996</v>
      </c>
      <c r="H55">
        <v>23.725000000000001</v>
      </c>
      <c r="I55">
        <f>H55*3</f>
        <v>71.175000000000011</v>
      </c>
    </row>
    <row r="56" spans="1:9">
      <c r="A56" s="3" t="s">
        <v>98</v>
      </c>
      <c r="B56">
        <v>15.3</v>
      </c>
      <c r="C56">
        <v>0.15</v>
      </c>
      <c r="D56">
        <v>0.15</v>
      </c>
      <c r="E56" s="4">
        <f>D56*C56*B56</f>
        <v>0.34425</v>
      </c>
      <c r="H56">
        <v>4.75</v>
      </c>
      <c r="I56">
        <f>H56*7</f>
        <v>33.25</v>
      </c>
    </row>
    <row r="57" spans="1:9">
      <c r="A57" s="3" t="s">
        <v>99</v>
      </c>
      <c r="B57">
        <v>23.824999999999999</v>
      </c>
      <c r="C57">
        <v>6.75</v>
      </c>
      <c r="D57">
        <v>0.1</v>
      </c>
      <c r="E57" s="4">
        <f t="shared" si="1"/>
        <v>16.081875</v>
      </c>
      <c r="I57">
        <f>SUM(I55:I56)</f>
        <v>104.42500000000001</v>
      </c>
    </row>
    <row r="60" spans="1:9">
      <c r="A60" s="8" t="s">
        <v>100</v>
      </c>
      <c r="B60" t="s">
        <v>73</v>
      </c>
      <c r="C60" t="s">
        <v>74</v>
      </c>
      <c r="D60" t="s">
        <v>84</v>
      </c>
      <c r="E60" s="2" t="s">
        <v>50</v>
      </c>
    </row>
    <row r="61" spans="1:9">
      <c r="A61" s="3" t="s">
        <v>90</v>
      </c>
      <c r="B61">
        <v>0.75</v>
      </c>
      <c r="C61">
        <v>0.75</v>
      </c>
      <c r="D61">
        <v>0.25</v>
      </c>
      <c r="E61" s="9">
        <f>(4*0.75)*D61*21</f>
        <v>15.75</v>
      </c>
    </row>
    <row r="62" spans="1:9">
      <c r="A62" s="3" t="s">
        <v>101</v>
      </c>
      <c r="B62">
        <v>23.725000000000001</v>
      </c>
      <c r="C62">
        <v>4.75</v>
      </c>
      <c r="D62">
        <v>7.4999999999999997E-2</v>
      </c>
      <c r="E62" s="9">
        <f>(B62+B62+C62+C62)*D62</f>
        <v>4.2712500000000002</v>
      </c>
    </row>
    <row r="63" spans="1:9">
      <c r="A63" s="3" t="s">
        <v>92</v>
      </c>
      <c r="B63">
        <f>23.725+23.725+21.5+33.25</f>
        <v>102.2</v>
      </c>
      <c r="C63">
        <v>0.2</v>
      </c>
      <c r="D63">
        <v>0.3</v>
      </c>
      <c r="E63" s="9">
        <f>B63*D63*2</f>
        <v>61.32</v>
      </c>
    </row>
    <row r="64" spans="1:9">
      <c r="A64" s="3" t="s">
        <v>93</v>
      </c>
      <c r="B64">
        <f>23.725+17</f>
        <v>40.725000000000001</v>
      </c>
      <c r="C64">
        <v>0.2</v>
      </c>
      <c r="D64">
        <v>0.25</v>
      </c>
      <c r="E64" s="9">
        <f>B64*D64*2</f>
        <v>20.362500000000001</v>
      </c>
    </row>
    <row r="65" spans="1:16">
      <c r="A65" s="3" t="s">
        <v>94</v>
      </c>
      <c r="B65">
        <v>3.5249999999999999</v>
      </c>
      <c r="C65">
        <v>0.2</v>
      </c>
      <c r="D65">
        <v>0.2</v>
      </c>
      <c r="E65" s="9">
        <f>B65*D65*4*26</f>
        <v>73.320000000000007</v>
      </c>
    </row>
    <row r="66" spans="1:16">
      <c r="A66" s="3" t="s">
        <v>95</v>
      </c>
      <c r="B66">
        <v>3.5249999999999999</v>
      </c>
      <c r="C66">
        <v>0.15</v>
      </c>
      <c r="D66">
        <v>0.15</v>
      </c>
      <c r="E66" s="9">
        <f>B66*C66*4*10</f>
        <v>21.15</v>
      </c>
    </row>
    <row r="67" spans="1:16">
      <c r="A67" s="3" t="s">
        <v>97</v>
      </c>
      <c r="B67">
        <f>23.725+23.725+23.725+33.25</f>
        <v>104.42500000000001</v>
      </c>
      <c r="C67">
        <v>0.2</v>
      </c>
      <c r="D67">
        <v>0.35</v>
      </c>
      <c r="E67" s="9">
        <f>B67*D67*2</f>
        <v>73.097499999999997</v>
      </c>
    </row>
    <row r="68" spans="1:16">
      <c r="A68" s="3" t="s">
        <v>98</v>
      </c>
      <c r="B68">
        <v>15.3</v>
      </c>
      <c r="C68">
        <v>0.15</v>
      </c>
      <c r="D68">
        <v>0.15</v>
      </c>
      <c r="E68" s="9">
        <f>B68*D68*2</f>
        <v>4.59</v>
      </c>
    </row>
    <row r="69" spans="1:16">
      <c r="A69" s="3" t="s">
        <v>99</v>
      </c>
      <c r="B69">
        <v>23.725000000000001</v>
      </c>
      <c r="C69">
        <v>6.75</v>
      </c>
      <c r="D69">
        <v>0.1</v>
      </c>
      <c r="E69" s="9">
        <f>(B69*C69)+((B69+B69+C69+C69)*D69)</f>
        <v>166.23875000000001</v>
      </c>
      <c r="K69" s="36" t="s">
        <v>102</v>
      </c>
      <c r="L69" s="37"/>
      <c r="M69" s="38"/>
      <c r="N69" s="11"/>
      <c r="O69" s="11"/>
      <c r="P69" s="12"/>
    </row>
    <row r="70" spans="1:16">
      <c r="K70" s="160"/>
      <c r="L70" s="160"/>
      <c r="M70" s="160"/>
      <c r="N70" s="13"/>
      <c r="O70" s="13"/>
      <c r="P70" s="12"/>
    </row>
    <row r="71" spans="1:16" ht="15.75" thickBot="1">
      <c r="K71" s="14" t="s">
        <v>103</v>
      </c>
      <c r="L71" s="14" t="s">
        <v>104</v>
      </c>
      <c r="M71" s="15" t="s">
        <v>105</v>
      </c>
      <c r="N71" s="16"/>
      <c r="O71" s="16"/>
      <c r="P71" s="12"/>
    </row>
    <row r="72" spans="1:16">
      <c r="A72" s="8" t="s">
        <v>106</v>
      </c>
      <c r="B72" t="s">
        <v>73</v>
      </c>
      <c r="C72" t="s">
        <v>74</v>
      </c>
      <c r="D72" t="s">
        <v>84</v>
      </c>
      <c r="E72" s="2" t="s">
        <v>107</v>
      </c>
      <c r="F72" s="40" t="s">
        <v>108</v>
      </c>
      <c r="K72" s="17">
        <v>6</v>
      </c>
      <c r="L72" s="17">
        <v>0.222</v>
      </c>
      <c r="M72" s="18">
        <f>L72/1000</f>
        <v>2.22E-4</v>
      </c>
      <c r="N72" s="16"/>
      <c r="O72" s="19">
        <f>M72*6</f>
        <v>1.3320000000000001E-3</v>
      </c>
      <c r="P72" s="12"/>
    </row>
    <row r="73" spans="1:16">
      <c r="A73" s="10" t="s">
        <v>109</v>
      </c>
      <c r="B73">
        <v>0.75</v>
      </c>
      <c r="C73">
        <v>0.75</v>
      </c>
      <c r="D73">
        <v>0.25</v>
      </c>
      <c r="E73" s="39">
        <f>F73*M74</f>
        <v>7.7616000000000004E-2</v>
      </c>
      <c r="F73">
        <v>126</v>
      </c>
      <c r="H73" t="s">
        <v>110</v>
      </c>
      <c r="I73">
        <f>0.75*8*21</f>
        <v>126</v>
      </c>
      <c r="K73" s="20">
        <v>9</v>
      </c>
      <c r="L73" s="20">
        <v>0.499</v>
      </c>
      <c r="M73" s="21">
        <v>4.9899999999999999E-4</v>
      </c>
      <c r="N73" s="16"/>
      <c r="O73" s="19">
        <f t="shared" ref="O73:O87" si="2">M73*6</f>
        <v>2.9940000000000001E-3</v>
      </c>
      <c r="P73" s="12"/>
    </row>
    <row r="74" spans="1:16">
      <c r="A74" s="10" t="s">
        <v>111</v>
      </c>
      <c r="B74">
        <v>23.725000000000001</v>
      </c>
      <c r="C74">
        <v>4.75</v>
      </c>
      <c r="D74">
        <v>7.4999999999999997E-2</v>
      </c>
      <c r="E74" s="9">
        <f>F74*M78</f>
        <v>0.64549520000000005</v>
      </c>
      <c r="F74">
        <v>408.8</v>
      </c>
      <c r="H74" t="s">
        <v>76</v>
      </c>
      <c r="I74">
        <f>102.2*4</f>
        <v>408.8</v>
      </c>
      <c r="K74" s="22">
        <v>10</v>
      </c>
      <c r="L74" s="22">
        <v>0.61599999999999999</v>
      </c>
      <c r="M74" s="23">
        <v>6.1600000000000001E-4</v>
      </c>
      <c r="N74" s="16"/>
      <c r="O74" s="19">
        <f t="shared" si="2"/>
        <v>3.6960000000000001E-3</v>
      </c>
      <c r="P74" s="12"/>
    </row>
    <row r="75" spans="1:16">
      <c r="A75" s="10" t="s">
        <v>112</v>
      </c>
      <c r="B75">
        <f>23.725+23.725+21.5+33.25</f>
        <v>102.2</v>
      </c>
      <c r="C75">
        <v>0.2</v>
      </c>
      <c r="D75">
        <v>0.3</v>
      </c>
      <c r="E75" s="9">
        <f>F75*M75</f>
        <v>0.14465520000000001</v>
      </c>
      <c r="F75">
        <v>162.9</v>
      </c>
      <c r="H75" t="s">
        <v>113</v>
      </c>
      <c r="I75">
        <f>40.725*4</f>
        <v>162.9</v>
      </c>
      <c r="K75" s="24">
        <v>12</v>
      </c>
      <c r="L75" s="24">
        <v>0.88800000000000001</v>
      </c>
      <c r="M75" s="25">
        <v>8.8800000000000001E-4</v>
      </c>
      <c r="N75" s="16"/>
      <c r="O75" s="19">
        <f t="shared" si="2"/>
        <v>5.3280000000000003E-3</v>
      </c>
      <c r="P75" s="12"/>
    </row>
    <row r="76" spans="1:16">
      <c r="A76" s="10" t="s">
        <v>114</v>
      </c>
      <c r="B76">
        <f>23.725+23.725+21.5+33.25</f>
        <v>102.2</v>
      </c>
      <c r="C76">
        <v>0.2</v>
      </c>
      <c r="D76">
        <v>0.3</v>
      </c>
      <c r="E76" s="9">
        <f>F76*M72</f>
        <v>0.2057496</v>
      </c>
      <c r="F76">
        <v>926.8</v>
      </c>
      <c r="H76" t="s">
        <v>115</v>
      </c>
      <c r="I76">
        <f>(1*682)+(0.9*272)</f>
        <v>926.8</v>
      </c>
      <c r="K76" s="20">
        <v>13</v>
      </c>
      <c r="L76" s="20">
        <v>1.042</v>
      </c>
      <c r="M76" s="21">
        <v>1.042E-3</v>
      </c>
      <c r="N76" s="16"/>
      <c r="O76" s="19">
        <f t="shared" si="2"/>
        <v>6.2519999999999997E-3</v>
      </c>
      <c r="P76" s="12"/>
    </row>
    <row r="77" spans="1:16">
      <c r="A77" s="10" t="s">
        <v>116</v>
      </c>
      <c r="B77">
        <f>23.725+17</f>
        <v>40.725000000000001</v>
      </c>
      <c r="C77">
        <v>0.2</v>
      </c>
      <c r="D77">
        <v>0.25</v>
      </c>
      <c r="E77" s="9">
        <f>F77*M74</f>
        <v>0.96213040000000005</v>
      </c>
      <c r="F77">
        <v>1561.9</v>
      </c>
      <c r="H77" t="s">
        <v>117</v>
      </c>
      <c r="I77">
        <f>(4.75*159)+(23.725*34)</f>
        <v>1561.9</v>
      </c>
      <c r="K77" s="20">
        <v>14</v>
      </c>
      <c r="L77" s="20">
        <v>1.208</v>
      </c>
      <c r="M77" s="21">
        <v>1.2080000000000001E-3</v>
      </c>
      <c r="N77" s="16"/>
      <c r="O77" s="19">
        <f t="shared" si="2"/>
        <v>7.248000000000001E-3</v>
      </c>
      <c r="P77" s="12"/>
    </row>
    <row r="78" spans="1:16">
      <c r="A78" s="10" t="s">
        <v>118</v>
      </c>
      <c r="B78">
        <v>3.5249999999999999</v>
      </c>
      <c r="C78">
        <v>0.2</v>
      </c>
      <c r="D78">
        <v>0.2</v>
      </c>
      <c r="E78" s="9">
        <f>F78*M75</f>
        <v>0.45074880000000001</v>
      </c>
      <c r="F78">
        <v>507.6</v>
      </c>
      <c r="H78" t="s">
        <v>119</v>
      </c>
      <c r="I78">
        <f>(4*3.525*26)+(4*3.525*10)</f>
        <v>507.59999999999997</v>
      </c>
      <c r="K78" s="26">
        <v>16</v>
      </c>
      <c r="L78" s="26">
        <v>1.579</v>
      </c>
      <c r="M78" s="27">
        <v>1.5790000000000001E-3</v>
      </c>
      <c r="N78" s="16"/>
      <c r="O78" s="19">
        <f t="shared" si="2"/>
        <v>9.4739999999999998E-3</v>
      </c>
      <c r="P78" s="12"/>
    </row>
    <row r="79" spans="1:16">
      <c r="A79" s="10" t="s">
        <v>120</v>
      </c>
      <c r="B79">
        <v>3.5249999999999999</v>
      </c>
      <c r="C79">
        <v>0.15</v>
      </c>
      <c r="D79">
        <v>0.15</v>
      </c>
      <c r="E79" s="9">
        <f>F79*M72</f>
        <v>0.13981559999999998</v>
      </c>
      <c r="F79">
        <v>629.79999999999995</v>
      </c>
      <c r="H79" t="s">
        <v>119</v>
      </c>
      <c r="I79">
        <f>(0.8*611)+(0.6*235)</f>
        <v>629.79999999999995</v>
      </c>
      <c r="K79" s="20">
        <v>18</v>
      </c>
      <c r="L79" s="20">
        <v>1.998</v>
      </c>
      <c r="M79" s="21">
        <v>1.9980000000000002E-3</v>
      </c>
      <c r="N79" s="16"/>
      <c r="O79" s="19">
        <f t="shared" si="2"/>
        <v>1.1988000000000002E-2</v>
      </c>
      <c r="P79" s="12"/>
    </row>
    <row r="80" spans="1:16">
      <c r="A80" s="10" t="s">
        <v>121</v>
      </c>
      <c r="B80">
        <f>23.725+23.725+23.725+33.25</f>
        <v>104.42500000000001</v>
      </c>
      <c r="C80">
        <v>0.2</v>
      </c>
      <c r="D80">
        <v>0.35</v>
      </c>
      <c r="E80" s="9">
        <f>F80*M78</f>
        <v>0.65954829999999998</v>
      </c>
      <c r="F80">
        <v>417.7</v>
      </c>
      <c r="H80" t="s">
        <v>96</v>
      </c>
      <c r="I80">
        <f>4*104.425</f>
        <v>417.7</v>
      </c>
      <c r="K80" s="28">
        <v>20</v>
      </c>
      <c r="L80" s="28">
        <v>2.4660000000000002</v>
      </c>
      <c r="M80" s="29">
        <v>2.4659999999999999E-3</v>
      </c>
      <c r="N80" s="16"/>
      <c r="O80" s="19">
        <f t="shared" si="2"/>
        <v>1.4796E-2</v>
      </c>
      <c r="P80" s="12"/>
    </row>
    <row r="81" spans="1:16">
      <c r="A81" s="10" t="s">
        <v>122</v>
      </c>
      <c r="B81">
        <v>104.425</v>
      </c>
      <c r="C81">
        <v>0.2</v>
      </c>
      <c r="D81">
        <v>0.35</v>
      </c>
      <c r="E81" s="9">
        <f>F81*M72</f>
        <v>0.17020740000000001</v>
      </c>
      <c r="F81">
        <v>766.7</v>
      </c>
      <c r="H81" t="s">
        <v>96</v>
      </c>
      <c r="I81">
        <f>697*1.1</f>
        <v>766.7</v>
      </c>
      <c r="K81" s="20">
        <v>22</v>
      </c>
      <c r="L81" s="20">
        <v>2.984</v>
      </c>
      <c r="M81" s="21">
        <v>2.9840000000000001E-3</v>
      </c>
      <c r="N81" s="16"/>
      <c r="O81" s="19">
        <f t="shared" si="2"/>
        <v>1.7904E-2</v>
      </c>
      <c r="P81" s="12"/>
    </row>
    <row r="82" spans="1:16">
      <c r="A82" s="10" t="s">
        <v>123</v>
      </c>
      <c r="B82">
        <v>15.3</v>
      </c>
      <c r="C82">
        <v>0.15</v>
      </c>
      <c r="D82">
        <v>0.15</v>
      </c>
      <c r="E82" s="9">
        <f>F82*M74</f>
        <v>3.7699200000000002E-2</v>
      </c>
      <c r="F82">
        <v>61.2</v>
      </c>
      <c r="H82" t="s">
        <v>124</v>
      </c>
      <c r="I82">
        <f>15.3*4</f>
        <v>61.2</v>
      </c>
      <c r="K82" s="20">
        <v>25</v>
      </c>
      <c r="L82" s="20">
        <v>3.8540000000000001</v>
      </c>
      <c r="M82" s="21">
        <v>3.8539999999999998E-3</v>
      </c>
      <c r="N82" s="16"/>
      <c r="O82" s="19">
        <f t="shared" si="2"/>
        <v>2.3123999999999999E-2</v>
      </c>
      <c r="P82" s="12"/>
    </row>
    <row r="83" spans="1:16">
      <c r="A83" s="10" t="s">
        <v>125</v>
      </c>
      <c r="B83">
        <v>15.3</v>
      </c>
      <c r="C83">
        <v>0.15</v>
      </c>
      <c r="D83">
        <v>0.15</v>
      </c>
      <c r="E83" s="9">
        <f>F83*M72</f>
        <v>1.37196E-2</v>
      </c>
      <c r="F83">
        <v>61.8</v>
      </c>
      <c r="H83" t="s">
        <v>126</v>
      </c>
      <c r="I83">
        <f>0.6*103</f>
        <v>61.8</v>
      </c>
      <c r="K83" s="20">
        <v>28</v>
      </c>
      <c r="L83" s="20">
        <v>4.3339999999999996</v>
      </c>
      <c r="M83" s="21">
        <v>4.3340000000000002E-3</v>
      </c>
      <c r="N83" s="30"/>
      <c r="O83" s="19">
        <f t="shared" si="2"/>
        <v>2.6003999999999999E-2</v>
      </c>
      <c r="P83" s="31"/>
    </row>
    <row r="84" spans="1:16">
      <c r="A84" s="10" t="s">
        <v>127</v>
      </c>
      <c r="B84">
        <v>23.725000000000001</v>
      </c>
      <c r="C84">
        <v>6.75</v>
      </c>
      <c r="D84">
        <v>0.1</v>
      </c>
      <c r="E84" s="9">
        <f>F84*M74</f>
        <v>1.1524590000000001</v>
      </c>
      <c r="F84">
        <v>1870.875</v>
      </c>
      <c r="K84" s="20">
        <v>32</v>
      </c>
      <c r="L84" s="20">
        <v>6.3129999999999997</v>
      </c>
      <c r="M84" s="21">
        <v>6.313E-3</v>
      </c>
      <c r="N84" s="30"/>
      <c r="O84" s="19">
        <f t="shared" si="2"/>
        <v>3.7878000000000002E-2</v>
      </c>
      <c r="P84" s="31"/>
    </row>
    <row r="85" spans="1:16">
      <c r="K85" s="20">
        <v>35</v>
      </c>
      <c r="L85" s="20">
        <v>7.5529999999999999</v>
      </c>
      <c r="M85" s="21">
        <v>7.5529999999999998E-3</v>
      </c>
      <c r="N85" s="30"/>
      <c r="O85" s="19">
        <f t="shared" si="2"/>
        <v>4.5317999999999997E-2</v>
      </c>
      <c r="P85" s="31"/>
    </row>
    <row r="86" spans="1:16">
      <c r="K86" s="20">
        <v>38</v>
      </c>
      <c r="L86" s="20">
        <v>8.9030000000000005</v>
      </c>
      <c r="M86" s="21">
        <v>8.9029999999999995E-3</v>
      </c>
      <c r="N86" s="30"/>
      <c r="O86" s="19">
        <f t="shared" si="2"/>
        <v>5.3417999999999993E-2</v>
      </c>
      <c r="P86" s="31"/>
    </row>
    <row r="87" spans="1:16">
      <c r="A87" s="8" t="s">
        <v>128</v>
      </c>
      <c r="K87" s="20">
        <v>40</v>
      </c>
      <c r="L87" s="20">
        <v>9.8640000000000008</v>
      </c>
      <c r="M87" s="21">
        <v>9.8639999999999995E-3</v>
      </c>
      <c r="N87" s="30"/>
      <c r="O87" s="19">
        <f t="shared" si="2"/>
        <v>5.9184E-2</v>
      </c>
      <c r="P87" s="31"/>
    </row>
    <row r="88" spans="1:16">
      <c r="K88" s="32"/>
      <c r="L88" s="32"/>
      <c r="M88" s="33"/>
      <c r="N88" s="30"/>
      <c r="O88" s="19"/>
      <c r="P88" s="31"/>
    </row>
    <row r="89" spans="1:16">
      <c r="A89" s="41"/>
      <c r="B89" s="41"/>
      <c r="C89" s="41"/>
      <c r="D89" s="41"/>
      <c r="E89" s="161" t="s">
        <v>129</v>
      </c>
      <c r="F89" s="161"/>
      <c r="G89" s="161"/>
      <c r="H89" s="161"/>
      <c r="I89" s="47"/>
      <c r="K89" s="20" t="s">
        <v>130</v>
      </c>
      <c r="L89" s="20" t="s">
        <v>131</v>
      </c>
      <c r="M89" s="34" t="s">
        <v>132</v>
      </c>
      <c r="N89" s="16"/>
      <c r="O89" s="16"/>
      <c r="P89" s="12"/>
    </row>
    <row r="90" spans="1:16">
      <c r="A90" s="41"/>
      <c r="B90" s="41"/>
      <c r="C90" s="41"/>
      <c r="D90" s="41"/>
      <c r="E90" s="48" t="s">
        <v>133</v>
      </c>
      <c r="F90" s="47"/>
      <c r="G90" s="47" t="s">
        <v>134</v>
      </c>
      <c r="H90" s="47" t="s">
        <v>135</v>
      </c>
      <c r="I90" s="47" t="s">
        <v>136</v>
      </c>
      <c r="K90" s="13"/>
      <c r="L90" s="13"/>
      <c r="M90" s="35"/>
      <c r="N90" s="16"/>
      <c r="O90" s="16"/>
      <c r="P90" s="12"/>
    </row>
    <row r="91" spans="1:16">
      <c r="A91" s="41"/>
      <c r="B91" s="41"/>
      <c r="C91" s="41"/>
      <c r="D91" s="41"/>
      <c r="E91" s="48">
        <v>0</v>
      </c>
      <c r="F91" s="47" t="s">
        <v>137</v>
      </c>
      <c r="G91" s="47">
        <v>1.35</v>
      </c>
      <c r="H91" s="47">
        <v>2.1</v>
      </c>
      <c r="I91" s="47">
        <f>E91*G91*H91</f>
        <v>0</v>
      </c>
    </row>
    <row r="92" spans="1:16">
      <c r="A92" s="41"/>
      <c r="B92" s="41"/>
      <c r="C92" s="41"/>
      <c r="D92" s="41"/>
      <c r="E92" s="48">
        <v>0</v>
      </c>
      <c r="F92" s="47" t="s">
        <v>138</v>
      </c>
      <c r="G92" s="47">
        <v>0.9</v>
      </c>
      <c r="H92" s="47">
        <v>2.1</v>
      </c>
      <c r="I92" s="47">
        <f t="shared" ref="I92:I94" si="3">E92*G92*H92</f>
        <v>0</v>
      </c>
    </row>
    <row r="93" spans="1:16">
      <c r="A93" s="41"/>
      <c r="B93" s="41"/>
      <c r="C93" s="41"/>
      <c r="D93" s="41"/>
      <c r="E93" s="48">
        <v>1</v>
      </c>
      <c r="F93" s="47" t="s">
        <v>139</v>
      </c>
      <c r="G93" s="47">
        <v>0.9</v>
      </c>
      <c r="H93" s="47">
        <v>2.1</v>
      </c>
      <c r="I93" s="47">
        <f t="shared" si="3"/>
        <v>1.8900000000000001</v>
      </c>
    </row>
    <row r="94" spans="1:16">
      <c r="A94" s="41"/>
      <c r="B94" s="41"/>
      <c r="C94" s="41"/>
      <c r="D94" s="41"/>
      <c r="E94" s="48">
        <v>10</v>
      </c>
      <c r="F94" s="47" t="s">
        <v>140</v>
      </c>
      <c r="G94" s="47">
        <v>0.9</v>
      </c>
      <c r="H94" s="47">
        <v>0.55000000000000004</v>
      </c>
      <c r="I94" s="47">
        <f t="shared" si="3"/>
        <v>4.95</v>
      </c>
    </row>
    <row r="95" spans="1:16">
      <c r="A95" s="44" t="s">
        <v>141</v>
      </c>
      <c r="B95" s="41"/>
      <c r="C95" s="41"/>
      <c r="D95" s="41"/>
      <c r="E95" s="48"/>
      <c r="F95" s="47"/>
      <c r="G95" s="47"/>
      <c r="H95" s="47"/>
      <c r="I95" s="49">
        <f>SUM(I91:I94)</f>
        <v>6.84</v>
      </c>
    </row>
    <row r="96" spans="1:16">
      <c r="A96" s="41" t="s">
        <v>134</v>
      </c>
      <c r="B96" s="41" t="s">
        <v>135</v>
      </c>
      <c r="C96" s="41" t="s">
        <v>136</v>
      </c>
      <c r="D96" s="41"/>
      <c r="E96" s="43"/>
      <c r="F96" s="42"/>
      <c r="G96" s="42"/>
      <c r="H96" s="42"/>
      <c r="I96" s="42"/>
    </row>
    <row r="97" spans="1:10">
      <c r="A97" s="41">
        <v>56.95</v>
      </c>
      <c r="B97" s="41">
        <v>3.5249999999999999</v>
      </c>
      <c r="C97" s="41">
        <v>201.0335</v>
      </c>
      <c r="D97" s="41"/>
      <c r="E97" s="43"/>
      <c r="F97" s="42"/>
      <c r="G97" s="42"/>
      <c r="H97" s="42"/>
      <c r="I97" s="42"/>
    </row>
    <row r="98" spans="1:10">
      <c r="A98" s="162" t="s">
        <v>142</v>
      </c>
      <c r="B98" s="162"/>
      <c r="C98" s="45">
        <f>C97-I95</f>
        <v>194.1935</v>
      </c>
      <c r="D98" s="41"/>
      <c r="E98" s="43"/>
      <c r="F98" s="42"/>
      <c r="G98" s="42"/>
      <c r="H98" s="42"/>
      <c r="I98" s="42"/>
      <c r="J98">
        <f>56.95*3.53</f>
        <v>201.0335</v>
      </c>
    </row>
    <row r="99" spans="1:10">
      <c r="A99" s="46"/>
      <c r="B99" s="46"/>
      <c r="C99" s="41"/>
      <c r="D99" s="41"/>
      <c r="E99" s="43"/>
      <c r="F99" s="42"/>
      <c r="G99" s="42"/>
      <c r="H99" s="42"/>
      <c r="I99" s="42"/>
    </row>
    <row r="101" spans="1:10">
      <c r="A101" s="41"/>
      <c r="B101" s="41"/>
      <c r="C101" s="41"/>
      <c r="D101" s="41"/>
      <c r="E101" s="161" t="s">
        <v>129</v>
      </c>
      <c r="F101" s="161"/>
      <c r="G101" s="161"/>
      <c r="H101" s="161"/>
      <c r="I101" s="47"/>
    </row>
    <row r="102" spans="1:10">
      <c r="A102" s="41"/>
      <c r="B102" s="41"/>
      <c r="C102" s="41"/>
      <c r="D102" s="41"/>
      <c r="E102" s="48" t="s">
        <v>133</v>
      </c>
      <c r="F102" s="47"/>
      <c r="G102" s="47" t="s">
        <v>134</v>
      </c>
      <c r="H102" s="47" t="s">
        <v>135</v>
      </c>
      <c r="I102" s="47" t="s">
        <v>136</v>
      </c>
    </row>
    <row r="103" spans="1:10">
      <c r="A103" s="41"/>
      <c r="B103" s="41"/>
      <c r="C103" s="41"/>
      <c r="D103" s="41"/>
      <c r="E103" s="48">
        <v>10</v>
      </c>
      <c r="F103" s="47" t="s">
        <v>137</v>
      </c>
      <c r="G103" s="47">
        <v>1.35</v>
      </c>
      <c r="H103" s="47">
        <v>2.1</v>
      </c>
      <c r="I103" s="47">
        <f>E103*G103*H103</f>
        <v>28.35</v>
      </c>
    </row>
    <row r="104" spans="1:10">
      <c r="A104" s="41"/>
      <c r="B104" s="41"/>
      <c r="C104" s="41"/>
      <c r="D104" s="41"/>
      <c r="E104" s="48">
        <v>1</v>
      </c>
      <c r="F104" s="47" t="s">
        <v>138</v>
      </c>
      <c r="G104" s="47">
        <v>0.9</v>
      </c>
      <c r="H104" s="47">
        <v>2.1</v>
      </c>
      <c r="I104" s="47">
        <f t="shared" ref="I104:I106" si="4">E104*G104*H104</f>
        <v>1.8900000000000001</v>
      </c>
    </row>
    <row r="105" spans="1:10">
      <c r="A105" s="41"/>
      <c r="B105" s="41"/>
      <c r="C105" s="41"/>
      <c r="D105" s="41"/>
      <c r="E105" s="48">
        <v>0</v>
      </c>
      <c r="F105" s="47" t="s">
        <v>139</v>
      </c>
      <c r="G105" s="47">
        <v>0.9</v>
      </c>
      <c r="H105" s="47">
        <v>2.1</v>
      </c>
      <c r="I105" s="47">
        <f t="shared" si="4"/>
        <v>0</v>
      </c>
    </row>
    <row r="106" spans="1:10">
      <c r="A106" s="41"/>
      <c r="B106" s="41"/>
      <c r="C106" s="41"/>
      <c r="D106" s="41"/>
      <c r="E106" s="48">
        <v>0</v>
      </c>
      <c r="F106" s="47" t="s">
        <v>140</v>
      </c>
      <c r="G106" s="47">
        <v>0.9</v>
      </c>
      <c r="H106" s="47">
        <v>0.55000000000000004</v>
      </c>
      <c r="I106" s="47">
        <f t="shared" si="4"/>
        <v>0</v>
      </c>
    </row>
    <row r="107" spans="1:10">
      <c r="A107" s="44" t="s">
        <v>143</v>
      </c>
      <c r="B107" s="41"/>
      <c r="C107" s="41"/>
      <c r="D107" s="41"/>
      <c r="E107" s="48"/>
      <c r="F107" s="47"/>
      <c r="G107" s="47"/>
      <c r="H107" s="47"/>
      <c r="I107" s="49">
        <f>SUM(I103:I106)</f>
        <v>30.240000000000002</v>
      </c>
    </row>
    <row r="108" spans="1:10">
      <c r="A108" s="41" t="s">
        <v>134</v>
      </c>
      <c r="B108" s="41" t="s">
        <v>135</v>
      </c>
      <c r="C108" s="41" t="s">
        <v>136</v>
      </c>
      <c r="D108" s="41"/>
      <c r="E108" s="43"/>
      <c r="F108" s="42"/>
      <c r="G108" s="42"/>
      <c r="H108" s="42"/>
      <c r="I108" s="42"/>
    </row>
    <row r="109" spans="1:10">
      <c r="A109" s="41">
        <v>57.725000000000001</v>
      </c>
      <c r="B109" s="41">
        <v>3.5249999999999999</v>
      </c>
      <c r="C109" s="41">
        <f>E109</f>
        <v>203.78689999999997</v>
      </c>
      <c r="D109" s="41"/>
      <c r="E109" s="52">
        <f>57.73*3.53</f>
        <v>203.78689999999997</v>
      </c>
      <c r="F109" s="42"/>
      <c r="G109" s="42"/>
      <c r="H109" s="42"/>
      <c r="I109" s="42"/>
    </row>
    <row r="110" spans="1:10">
      <c r="A110" s="162"/>
      <c r="B110" s="162"/>
      <c r="C110" s="41"/>
      <c r="D110" s="41"/>
      <c r="E110" s="43"/>
      <c r="F110" s="42"/>
      <c r="G110" s="42"/>
      <c r="H110" s="42"/>
      <c r="I110" s="42"/>
    </row>
    <row r="112" spans="1:10">
      <c r="A112" s="3" t="s">
        <v>144</v>
      </c>
      <c r="C112">
        <v>21.562999999999999</v>
      </c>
    </row>
    <row r="114" spans="1:3">
      <c r="A114" s="3" t="s">
        <v>145</v>
      </c>
      <c r="C114" s="50">
        <f>C109+C112</f>
        <v>225.34989999999996</v>
      </c>
    </row>
    <row r="115" spans="1:3">
      <c r="C115" s="51">
        <f>C114-I107</f>
        <v>195.10989999999995</v>
      </c>
    </row>
  </sheetData>
  <mergeCells count="5">
    <mergeCell ref="K70:M70"/>
    <mergeCell ref="E89:H89"/>
    <mergeCell ref="A98:B98"/>
    <mergeCell ref="E101:H101"/>
    <mergeCell ref="A110:B110"/>
  </mergeCells>
  <pageMargins left="0.7" right="0.7" top="0.75" bottom="0.75" header="0.3" footer="0.3"/>
  <pageSetup orientation="portrait" r:id="rId1"/>
  <ignoredErrors>
    <ignoredError sqref="E5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9a89d9b-f5e3-41af-8194-30ca063b4f91" xsi:nil="true"/>
    <Approvers xmlns="09a89d9b-f5e3-41af-8194-30ca063b4f91">
      <UserInfo>
        <DisplayName/>
        <AccountId xsi:nil="true"/>
        <AccountType/>
      </UserInfo>
    </Approvers>
    <ApprovalStatus xmlns="09a89d9b-f5e3-41af-8194-30ca063b4f91" xsi:nil="true"/>
    <TaxCatchAll xmlns="a1336a19-a7c6-4af2-8ee5-660634acd64e" xsi:nil="true"/>
    <_ip_UnifiedCompliancePolicyProperties xmlns="http://schemas.microsoft.com/sharepoint/v3" xsi:nil="true"/>
    <ApprovalStarted xmlns="09a89d9b-f5e3-41af-8194-30ca063b4f91">false</ApprovalStarted>
    <lcf76f155ced4ddcb4097134ff3c332f xmlns="09a89d9b-f5e3-41af-8194-30ca063b4f91">
      <Terms xmlns="http://schemas.microsoft.com/office/infopath/2007/PartnerControls"/>
    </lcf76f155ced4ddcb4097134ff3c332f>
    <ApprovalHistory xmlns="09a89d9b-f5e3-41af-8194-30ca063b4f91">✔ Enable Append changes to existing text  ✔ Rich text = No</ApprovalHistor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94D861457F6444A016DEA61333D434" ma:contentTypeVersion="21" ma:contentTypeDescription="Create a new document." ma:contentTypeScope="" ma:versionID="cdbce46c147d2325dcd8ae9320a27025">
  <xsd:schema xmlns:xsd="http://www.w3.org/2001/XMLSchema" xmlns:xs="http://www.w3.org/2001/XMLSchema" xmlns:p="http://schemas.microsoft.com/office/2006/metadata/properties" xmlns:ns1="http://schemas.microsoft.com/sharepoint/v3" xmlns:ns2="09a89d9b-f5e3-41af-8194-30ca063b4f91" xmlns:ns3="a1336a19-a7c6-4af2-8ee5-660634acd64e" targetNamespace="http://schemas.microsoft.com/office/2006/metadata/properties" ma:root="true" ma:fieldsID="5e88c03b7ecc0d1fc5e73c92c1098fc4" ns1:_="" ns2:_="" ns3:_="">
    <xsd:import namespace="http://schemas.microsoft.com/sharepoint/v3"/>
    <xsd:import namespace="09a89d9b-f5e3-41af-8194-30ca063b4f91"/>
    <xsd:import namespace="a1336a19-a7c6-4af2-8ee5-660634acd6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LengthInSeconds" minOccurs="0"/>
                <xsd:element ref="ns2:Status" minOccurs="0"/>
                <xsd:element ref="ns1:_ip_UnifiedCompliancePolicyProperties" minOccurs="0"/>
                <xsd:element ref="ns1:_ip_UnifiedCompliancePolicyUIAction" minOccurs="0"/>
                <xsd:element ref="ns2:Approvers" minOccurs="0"/>
                <xsd:element ref="ns2:ApprovalStatus" minOccurs="0"/>
                <xsd:element ref="ns2:ApprovalHistory" minOccurs="0"/>
                <xsd:element ref="ns2:ApprovalStar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89d9b-f5e3-41af-8194-30ca063b4f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d677fcd-a777-46c0-9ce8-27f0800b2801"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Status" ma:index="22" nillable="true" ma:displayName="Status" ma:format="Dropdown" ma:internalName="Status">
      <xsd:simpleType>
        <xsd:restriction base="dms:Choice">
          <xsd:enumeration value="Draft"/>
          <xsd:enumeration value="Under review"/>
          <xsd:enumeration value="Approved"/>
          <xsd:enumeration value="Need Approval"/>
        </xsd:restriction>
      </xsd:simpleType>
    </xsd:element>
    <xsd:element name="Approvers" ma:index="25" nillable="true" ma:displayName="Approvers" ma:format="Dropdown" ma:list="UserInfo" ma:SharePointGroup="0" ma:internalName="Approv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alStatus" ma:index="26" nillable="true" ma:displayName="Approval Status" ma:format="Dropdown" ma:internalName="ApprovalStatus">
      <xsd:simpleType>
        <xsd:restriction base="dms:Choice">
          <xsd:enumeration value="Pending"/>
          <xsd:enumeration value="Approved"/>
          <xsd:enumeration value="Rejected"/>
        </xsd:restriction>
      </xsd:simpleType>
    </xsd:element>
    <xsd:element name="ApprovalHistory" ma:index="27" nillable="true" ma:displayName="Approval History" ma:default="✔ Enable Append changes to existing text  ✔ Rich text = No" ma:format="Dropdown" ma:internalName="ApprovalHistory">
      <xsd:simpleType>
        <xsd:restriction base="dms:Note">
          <xsd:maxLength value="255"/>
        </xsd:restriction>
      </xsd:simpleType>
    </xsd:element>
    <xsd:element name="ApprovalStarted" ma:index="28" nillable="true" ma:displayName="Approval Started" ma:default="0" ma:format="Dropdown" ma:internalName="ApprovalStar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1336a19-a7c6-4af2-8ee5-660634acd64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e33117-2320-4c63-9469-c6e903eabc79}" ma:internalName="TaxCatchAll" ma:showField="CatchAllData" ma:web="a1336a19-a7c6-4af2-8ee5-660634acd64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353FC0-F5AD-4A33-9AA4-6EE2FEF2AD3A}"/>
</file>

<file path=customXml/itemProps2.xml><?xml version="1.0" encoding="utf-8"?>
<ds:datastoreItem xmlns:ds="http://schemas.openxmlformats.org/officeDocument/2006/customXml" ds:itemID="{A2EA018F-E361-4B2E-9849-4660729D4F45}"/>
</file>

<file path=customXml/itemProps3.xml><?xml version="1.0" encoding="utf-8"?>
<ds:datastoreItem xmlns:ds="http://schemas.openxmlformats.org/officeDocument/2006/customXml" ds:itemID="{3E288822-F2FC-4517-8A2F-4EAC044E57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ir_1676</dc:creator>
  <cp:keywords/>
  <dc:description/>
  <cp:lastModifiedBy>Aalim Shakeel</cp:lastModifiedBy>
  <cp:revision/>
  <dcterms:created xsi:type="dcterms:W3CDTF">2009-10-23T12:30:50Z</dcterms:created>
  <dcterms:modified xsi:type="dcterms:W3CDTF">2026-08-11T12:38:01Z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0x0101003C94D861457F6444A016DEA61333D434</vt:lpwstr>
  </property>
  <property fmtid="{D5CDD505-2E9C-101B-9397-08002B2CF9AE}" pid="3" name="MediaServiceImageTags">
    <vt:lpwstr/>
  </property>
</Properties>
</file>